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nthly_Returns\2020\Mar'20\MIS March\Publication-March 2020\"/>
    </mc:Choice>
  </mc:AlternateContent>
  <bookViews>
    <workbookView xWindow="240" yWindow="15" windowWidth="15480" windowHeight="8130" tabRatio="632" firstSheet="1" activeTab="3"/>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state="hidden" r:id="rId7"/>
    <sheet name="LOANS &amp; RECEIVABLES" sheetId="8" state="hidden" r:id="rId8"/>
    <sheet name="DEPOSITS" sheetId="10" state="hidden" r:id="rId9"/>
  </sheets>
  <definedNames>
    <definedName name="_xlnm.Print_Area" localSheetId="4">'CASH FLOW'!$A$1:$E$63</definedName>
    <definedName name="_xlnm.Print_Area" localSheetId="3">'CHANGES IN EQUITY'!$A$1:$L$29,'CHANGES IN EQUITY'!$A$33:$L$58</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INDICATORS'!$A$1:$E$66</definedName>
  </definedNames>
  <calcPr calcId="152511" concurrentCalc="0"/>
</workbook>
</file>

<file path=xl/calcChain.xml><?xml version="1.0" encoding="utf-8"?>
<calcChain xmlns="http://schemas.openxmlformats.org/spreadsheetml/2006/main">
  <c r="H10" i="4" l="1"/>
  <c r="J10" i="4"/>
  <c r="C38" i="1"/>
  <c r="B26" i="7"/>
  <c r="B11" i="7"/>
  <c r="B10" i="7"/>
  <c r="B9" i="7"/>
  <c r="D60" i="11"/>
  <c r="D61" i="11"/>
  <c r="D57" i="11"/>
  <c r="D53" i="11"/>
  <c r="D49" i="11"/>
  <c r="D38" i="11"/>
  <c r="D37" i="11"/>
  <c r="D33" i="11"/>
  <c r="D30" i="11"/>
  <c r="D24" i="11"/>
  <c r="J47" i="4"/>
  <c r="L47" i="4"/>
  <c r="H41" i="4"/>
  <c r="I51" i="4"/>
  <c r="I47" i="4"/>
  <c r="B47" i="4"/>
  <c r="G54" i="4"/>
  <c r="I39" i="4"/>
  <c r="H39" i="4"/>
  <c r="G39" i="4"/>
  <c r="E39" i="4"/>
  <c r="B39" i="4"/>
  <c r="B24" i="11"/>
  <c r="B30" i="11"/>
  <c r="B37" i="11"/>
  <c r="B62" i="11"/>
  <c r="B44" i="11"/>
  <c r="B46" i="11"/>
  <c r="B33" i="11"/>
  <c r="B55" i="3"/>
  <c r="B46" i="3"/>
  <c r="B45" i="3"/>
  <c r="B30" i="3"/>
  <c r="B13" i="3"/>
  <c r="B21" i="7"/>
  <c r="B61" i="11"/>
  <c r="B58" i="11"/>
  <c r="B19" i="11"/>
  <c r="B34" i="11"/>
  <c r="B60" i="11"/>
  <c r="B63" i="11"/>
  <c r="G25" i="4"/>
  <c r="B61" i="3"/>
  <c r="B56" i="3"/>
  <c r="B54" i="3"/>
  <c r="B53" i="3"/>
  <c r="B57" i="3"/>
  <c r="B47" i="3"/>
  <c r="B44" i="3"/>
  <c r="B40" i="3"/>
  <c r="B34" i="3"/>
  <c r="B50" i="3"/>
  <c r="B31" i="3"/>
  <c r="B29" i="3"/>
  <c r="B27" i="3"/>
  <c r="B23" i="3"/>
  <c r="B22" i="3"/>
  <c r="B21" i="3"/>
  <c r="B14" i="3"/>
  <c r="B35" i="2"/>
  <c r="B34" i="2"/>
  <c r="B32" i="2"/>
  <c r="O19" i="10"/>
  <c r="M20" i="10"/>
  <c r="C20" i="10"/>
  <c r="M16" i="10"/>
  <c r="M14" i="10"/>
  <c r="M19" i="10"/>
  <c r="M18" i="10"/>
  <c r="M17" i="10"/>
  <c r="M11" i="10"/>
  <c r="M12" i="10"/>
  <c r="M13" i="10"/>
  <c r="M10" i="10"/>
  <c r="J25" i="10"/>
  <c r="J21" i="10"/>
  <c r="G20" i="10"/>
  <c r="G17" i="10"/>
  <c r="C17" i="10"/>
  <c r="C46" i="8"/>
  <c r="C37" i="8"/>
  <c r="C36" i="8"/>
  <c r="C35" i="8"/>
  <c r="C34" i="8"/>
  <c r="C33" i="8"/>
  <c r="C31" i="8"/>
  <c r="D47" i="8"/>
  <c r="E47" i="8"/>
  <c r="F47" i="8"/>
  <c r="C47" i="8"/>
  <c r="C57" i="8"/>
  <c r="D27" i="8"/>
  <c r="E27" i="8"/>
  <c r="F27" i="8"/>
  <c r="C27" i="8"/>
  <c r="C55" i="8"/>
  <c r="C54" i="8"/>
  <c r="C53" i="8"/>
  <c r="C69" i="8"/>
  <c r="C63" i="8"/>
  <c r="C75" i="8"/>
  <c r="C71" i="8"/>
  <c r="C68" i="8"/>
  <c r="C66" i="8"/>
  <c r="C62" i="8"/>
  <c r="C60" i="8"/>
  <c r="C59" i="8"/>
  <c r="C19" i="10"/>
  <c r="K19" i="10"/>
  <c r="L19" i="10"/>
  <c r="C18" i="10"/>
  <c r="K18" i="10"/>
  <c r="L18" i="10"/>
  <c r="L20" i="10"/>
  <c r="K20" i="10"/>
  <c r="K17" i="10"/>
  <c r="L17" i="10"/>
  <c r="J18" i="10"/>
  <c r="J19" i="10"/>
  <c r="J20" i="10"/>
  <c r="J17" i="10"/>
  <c r="I21" i="10"/>
  <c r="I22" i="10"/>
  <c r="H19" i="10"/>
  <c r="H21" i="10"/>
  <c r="H23" i="10"/>
  <c r="G23" i="10"/>
  <c r="G21" i="10"/>
  <c r="I17" i="10"/>
  <c r="G18" i="10"/>
  <c r="H18" i="10"/>
  <c r="C77" i="8"/>
  <c r="I23" i="10"/>
  <c r="G19" i="10"/>
  <c r="I18" i="10"/>
  <c r="C11" i="10"/>
  <c r="J23" i="10"/>
  <c r="B31" i="10"/>
  <c r="C13" i="10"/>
  <c r="C12" i="10"/>
  <c r="C15" i="10"/>
  <c r="C14" i="10"/>
  <c r="B39" i="10"/>
  <c r="B33" i="10"/>
  <c r="D20" i="10"/>
  <c r="D19" i="10"/>
  <c r="D13" i="10"/>
  <c r="D18" i="10"/>
  <c r="D17" i="10"/>
  <c r="D14" i="10"/>
  <c r="D11" i="10"/>
  <c r="D12" i="10"/>
  <c r="D17" i="8"/>
  <c r="D13" i="8"/>
  <c r="D12" i="8"/>
  <c r="C17" i="8"/>
  <c r="C13" i="8"/>
  <c r="C12" i="8"/>
  <c r="C18" i="8"/>
  <c r="D62" i="6"/>
  <c r="D61" i="6"/>
  <c r="D60" i="6"/>
  <c r="D58" i="6"/>
  <c r="D57" i="6"/>
  <c r="D56" i="6"/>
  <c r="D55" i="6"/>
  <c r="E50" i="6"/>
  <c r="E49" i="6"/>
  <c r="E48" i="6"/>
  <c r="E47" i="6"/>
  <c r="E46" i="6"/>
  <c r="E45" i="6"/>
  <c r="E44" i="6"/>
  <c r="E43" i="6"/>
  <c r="E42" i="6"/>
  <c r="B46" i="6"/>
  <c r="B47" i="6"/>
  <c r="B43" i="6"/>
  <c r="B42" i="6"/>
  <c r="B58" i="6"/>
  <c r="B55" i="6"/>
  <c r="B59" i="6"/>
  <c r="D59" i="6"/>
  <c r="D48" i="6"/>
  <c r="B25" i="6"/>
  <c r="B22" i="6"/>
  <c r="B14" i="6"/>
  <c r="B13" i="6"/>
  <c r="B10" i="6"/>
  <c r="D15" i="6"/>
  <c r="B9" i="6"/>
  <c r="K29" i="4"/>
  <c r="L27" i="4"/>
  <c r="L24" i="4"/>
  <c r="L23" i="4"/>
  <c r="L21" i="4"/>
  <c r="L20" i="4"/>
  <c r="L19" i="4"/>
  <c r="L18" i="4"/>
  <c r="L10" i="4"/>
  <c r="K14" i="4"/>
  <c r="J12" i="4"/>
  <c r="L12" i="4"/>
  <c r="J13" i="4"/>
  <c r="L13" i="4"/>
  <c r="I14" i="4"/>
  <c r="I29" i="4"/>
  <c r="B14" i="4"/>
  <c r="J27" i="4"/>
  <c r="J25" i="4"/>
  <c r="L25" i="4"/>
  <c r="J24" i="4"/>
  <c r="J23" i="4"/>
  <c r="J21" i="4"/>
  <c r="J20" i="4"/>
  <c r="J19" i="4"/>
  <c r="J18" i="4"/>
  <c r="I28" i="4"/>
  <c r="B29" i="4"/>
  <c r="C28" i="4"/>
  <c r="D28" i="4"/>
  <c r="E28" i="4"/>
  <c r="F28" i="4"/>
  <c r="G28" i="4"/>
  <c r="B28" i="4"/>
  <c r="F57" i="4"/>
  <c r="F58" i="4"/>
  <c r="L50" i="4"/>
  <c r="L42" i="4"/>
  <c r="J48" i="4"/>
  <c r="L48" i="4"/>
  <c r="J49" i="4"/>
  <c r="L49" i="4"/>
  <c r="J50" i="4"/>
  <c r="J51" i="4"/>
  <c r="L51" i="4"/>
  <c r="J52" i="4"/>
  <c r="L52" i="4"/>
  <c r="J53" i="4"/>
  <c r="L53" i="4"/>
  <c r="J54" i="4"/>
  <c r="L54" i="4"/>
  <c r="J56" i="4"/>
  <c r="L56" i="4"/>
  <c r="J42" i="4"/>
  <c r="J41" i="4"/>
  <c r="L41" i="4"/>
  <c r="J39" i="4"/>
  <c r="L39" i="4"/>
  <c r="F43" i="4"/>
  <c r="J57" i="4"/>
  <c r="D47" i="3"/>
  <c r="D19" i="11"/>
  <c r="D34" i="11"/>
  <c r="C14" i="4"/>
  <c r="D14" i="4"/>
  <c r="D29" i="4"/>
  <c r="E14" i="4"/>
  <c r="E29" i="4"/>
  <c r="F14" i="4"/>
  <c r="F29" i="4"/>
  <c r="G14" i="4"/>
  <c r="G29" i="4"/>
  <c r="H14" i="4"/>
  <c r="C29" i="4"/>
  <c r="J14" i="4"/>
  <c r="L14" i="4"/>
  <c r="B32" i="3"/>
  <c r="E19" i="1"/>
  <c r="E16" i="1"/>
  <c r="E29" i="1"/>
  <c r="E31" i="1"/>
  <c r="E35" i="1"/>
  <c r="E38" i="1"/>
  <c r="E40" i="1"/>
  <c r="E42" i="1"/>
  <c r="E44" i="1"/>
  <c r="D77" i="8"/>
  <c r="E77" i="8"/>
  <c r="F77" i="8"/>
  <c r="F75" i="8"/>
  <c r="E75" i="8"/>
  <c r="D75" i="8"/>
  <c r="F69" i="8"/>
  <c r="E69" i="8"/>
  <c r="D69" i="8"/>
  <c r="D63" i="8"/>
  <c r="E63" i="8"/>
  <c r="F63" i="8"/>
  <c r="F57" i="8"/>
  <c r="E57" i="8"/>
  <c r="D57" i="8"/>
  <c r="E46" i="8"/>
  <c r="F46" i="8"/>
  <c r="E37" i="8"/>
  <c r="F37" i="8"/>
  <c r="E26" i="8"/>
  <c r="F26" i="8"/>
  <c r="E18" i="8"/>
  <c r="F18" i="8"/>
  <c r="D46" i="8"/>
  <c r="D37" i="8"/>
  <c r="D26" i="8"/>
  <c r="C26" i="8"/>
  <c r="D18" i="8"/>
  <c r="D46" i="11"/>
  <c r="D21" i="10"/>
  <c r="D15" i="10"/>
  <c r="D22" i="10"/>
  <c r="E9" i="3"/>
  <c r="D126" i="6"/>
  <c r="D125" i="6"/>
  <c r="D124" i="6"/>
  <c r="D123" i="6"/>
  <c r="D122" i="6"/>
  <c r="D121" i="6"/>
  <c r="D120" i="6"/>
  <c r="D119" i="6"/>
  <c r="E114" i="6"/>
  <c r="E113" i="6"/>
  <c r="E112" i="6"/>
  <c r="E111" i="6"/>
  <c r="E110" i="6"/>
  <c r="E109" i="6"/>
  <c r="E108" i="6"/>
  <c r="E107" i="6"/>
  <c r="E115" i="6"/>
  <c r="J22" i="4"/>
  <c r="L22" i="4"/>
  <c r="H28" i="4"/>
  <c r="D9" i="3"/>
  <c r="J28" i="4"/>
  <c r="L28" i="4"/>
  <c r="L29" i="4"/>
  <c r="H29" i="4"/>
  <c r="J29" i="4"/>
  <c r="L57" i="4"/>
  <c r="C29" i="6"/>
  <c r="D17" i="6"/>
  <c r="C21" i="10"/>
  <c r="H43" i="4"/>
  <c r="I43" i="4"/>
  <c r="K57" i="4"/>
  <c r="I57" i="4"/>
  <c r="H57" i="4"/>
  <c r="H58" i="4"/>
  <c r="G57" i="4"/>
  <c r="E57" i="4"/>
  <c r="D57" i="4"/>
  <c r="C57" i="4"/>
  <c r="B57" i="4"/>
  <c r="K43" i="4"/>
  <c r="G43" i="4"/>
  <c r="E43" i="4"/>
  <c r="J43" i="4"/>
  <c r="D43" i="4"/>
  <c r="C43" i="4"/>
  <c r="C58" i="4"/>
  <c r="B43" i="4"/>
  <c r="L43" i="4"/>
  <c r="J58" i="4"/>
  <c r="E58" i="4"/>
  <c r="B58" i="4"/>
  <c r="G58" i="4"/>
  <c r="I58" i="4"/>
  <c r="D58" i="4"/>
  <c r="K58" i="4"/>
  <c r="L58" i="4"/>
  <c r="D58" i="11"/>
  <c r="D63" i="11"/>
  <c r="C22" i="10"/>
  <c r="D94" i="6"/>
  <c r="D93" i="6"/>
  <c r="D92" i="6"/>
  <c r="D91" i="6"/>
  <c r="D90" i="6"/>
  <c r="D89" i="6"/>
  <c r="D88" i="6"/>
  <c r="D87" i="6"/>
  <c r="E82" i="6"/>
  <c r="E81" i="6"/>
  <c r="E80" i="6"/>
  <c r="E79" i="6"/>
  <c r="E78" i="6"/>
  <c r="E77" i="6"/>
  <c r="E76" i="6"/>
  <c r="E75" i="6"/>
  <c r="E83" i="6"/>
  <c r="B37" i="2"/>
  <c r="D57" i="3"/>
  <c r="D59" i="3"/>
  <c r="B59" i="3"/>
  <c r="B60" i="3"/>
  <c r="C16" i="1"/>
  <c r="B26" i="6"/>
  <c r="E15" i="6"/>
  <c r="C17" i="6"/>
  <c r="E14" i="6"/>
  <c r="E13" i="6"/>
  <c r="E11" i="6"/>
  <c r="E10" i="6"/>
  <c r="E9" i="6"/>
  <c r="D32" i="3"/>
  <c r="C19" i="1"/>
  <c r="C29" i="1"/>
  <c r="D50" i="3"/>
  <c r="D60" i="3"/>
  <c r="E12" i="6"/>
  <c r="D37" i="2"/>
  <c r="D23" i="6"/>
  <c r="D25" i="6"/>
  <c r="D27" i="6"/>
  <c r="D28" i="6"/>
  <c r="C31" i="1"/>
  <c r="C35" i="1"/>
  <c r="E16" i="6"/>
  <c r="E17" i="6"/>
  <c r="D22" i="6"/>
  <c r="B29" i="6"/>
  <c r="D29" i="6"/>
  <c r="D26" i="6"/>
  <c r="B17" i="6"/>
  <c r="C40" i="1"/>
  <c r="C42" i="1"/>
  <c r="D12" i="2"/>
  <c r="D39" i="2"/>
  <c r="D40" i="2"/>
  <c r="B12" i="2"/>
  <c r="B39" i="2"/>
  <c r="B40" i="2"/>
  <c r="C44" i="1"/>
</calcChain>
</file>

<file path=xl/sharedStrings.xml><?xml version="1.0" encoding="utf-8"?>
<sst xmlns="http://schemas.openxmlformats.org/spreadsheetml/2006/main" count="701" uniqueCount="368">
  <si>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</si>
  <si>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</si>
  <si>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</si>
  <si>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</si>
  <si>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</si>
  <si>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</si>
  <si>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</si>
  <si>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</si>
  <si>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</si>
  <si>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</si>
  <si>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</si>
  <si>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</si>
  <si>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</si>
  <si>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</si>
  <si>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</si>
  <si>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</si>
  <si>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</si>
  <si>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</si>
  <si>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</si>
  <si>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</si>
  <si>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</si>
  <si>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</si>
  <si>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</si>
  <si>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</si>
  <si>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</si>
  <si>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</si>
  <si>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</si>
  <si>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</si>
  <si>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</si>
  <si>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</si>
  <si>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</si>
  <si>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</si>
  <si>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</si>
  <si>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</si>
  <si>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</si>
  <si>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</si>
  <si>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</si>
  <si>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</si>
  <si>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</si>
  <si>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</si>
  <si>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</si>
  <si>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</si>
  <si>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</si>
  <si>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</si>
  <si>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</si>
  <si>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</si>
  <si>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</si>
  <si>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</si>
  <si>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</si>
  <si>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</si>
  <si>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</si>
  <si>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</si>
  <si>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</si>
  <si>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</si>
  <si>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</si>
  <si>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</si>
  <si>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</si>
  <si>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</si>
  <si>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</si>
  <si>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</si>
  <si>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</si>
  <si>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</si>
  <si>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</si>
  <si>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</si>
  <si>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</si>
  <si>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</si>
  <si>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</si>
  <si>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</si>
  <si>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</si>
  <si>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</si>
  <si>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</si>
  <si>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</si>
  <si>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</si>
  <si>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</si>
  <si>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</si>
  <si>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</si>
  <si>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</si>
  <si>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</si>
  <si>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</si>
  <si>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</si>
  <si>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</si>
  <si>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</si>
  <si>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</si>
  <si>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</si>
  <si>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</si>
  <si>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</si>
  <si>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</si>
  <si>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</si>
  <si>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</si>
  <si>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</si>
  <si>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</si>
  <si>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</si>
  <si>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</si>
  <si>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</si>
  <si>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</si>
  <si>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</si>
  <si>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</si>
  <si>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</si>
  <si>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</si>
  <si>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</si>
  <si>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</si>
  <si>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</si>
  <si>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</si>
  <si>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</si>
  <si>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</si>
  <si>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</si>
  <si>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</si>
  <si>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</si>
  <si>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</si>
  <si>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</si>
  <si>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</si>
  <si>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</si>
  <si>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</si>
  <si>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</si>
  <si>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</si>
  <si>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</si>
  <si>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</si>
  <si>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</si>
  <si>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</si>
  <si>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</si>
  <si>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</si>
  <si>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</si>
  <si>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</si>
  <si>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</si>
  <si>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</si>
  <si>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</si>
  <si>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</si>
  <si>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</si>
  <si>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</si>
  <si>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</si>
  <si>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</si>
  <si>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</si>
  <si>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</si>
  <si>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</si>
  <si>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</si>
  <si>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</si>
  <si>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</si>
  <si>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</si>
  <si>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</si>
  <si>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</si>
  <si>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</si>
  <si>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</si>
  <si>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</si>
  <si>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</si>
  <si>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</si>
  <si>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</si>
  <si>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</si>
  <si>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</si>
  <si>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</si>
  <si>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</si>
  <si>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</si>
  <si>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</si>
  <si>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</si>
  <si>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</si>
  <si>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</si>
  <si>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</si>
  <si>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</si>
  <si>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</si>
  <si>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</si>
  <si>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</si>
  <si>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</si>
  <si>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</si>
  <si>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</si>
  <si>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Bank (in LKR)</t>
  </si>
  <si>
    <t>AS AT 31.03.2018</t>
  </si>
  <si>
    <t>d. Group - Previous period</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</si>
  <si>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</si>
  <si>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</si>
  <si>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</si>
  <si>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</si>
  <si>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</si>
  <si>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</si>
  <si>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</si>
  <si>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</si>
  <si>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</si>
  <si>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</si>
  <si>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</si>
  <si>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</si>
  <si>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</si>
  <si>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</si>
  <si>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</si>
  <si>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</si>
  <si>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</si>
  <si>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</si>
  <si>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</si>
  <si>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</si>
  <si>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</si>
  <si>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</si>
  <si>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</si>
  <si>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</si>
  <si>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</si>
  <si>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</si>
  <si>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</si>
  <si>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</si>
  <si>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</si>
  <si>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</si>
  <si>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</si>
  <si>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</si>
  <si>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</si>
  <si>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</si>
  <si>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</si>
  <si>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</si>
  <si>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</si>
  <si>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</si>
  <si>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</si>
  <si>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</si>
  <si>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</si>
  <si>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</si>
  <si>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Total comprehensive income for the perid attributable to :</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</si>
  <si>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</si>
  <si>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</si>
  <si>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</si>
  <si>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</si>
  <si>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</si>
  <si>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</si>
  <si>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</si>
  <si>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</si>
  <si>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</si>
  <si>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</si>
  <si>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</si>
  <si>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</si>
  <si>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</si>
  <si>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</si>
  <si>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</si>
  <si>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</si>
  <si>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</si>
  <si>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</si>
  <si>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</si>
  <si>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</si>
  <si>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</si>
  <si>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</si>
  <si>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</si>
  <si>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</si>
  <si>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</si>
  <si>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</si>
  <si>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</si>
  <si>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</si>
  <si>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</si>
  <si>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</si>
  <si>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</si>
  <si>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</si>
  <si>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</si>
  <si>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</si>
  <si>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</si>
  <si>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</si>
  <si>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</si>
  <si>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</si>
  <si>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</si>
  <si>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</si>
  <si>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</si>
  <si>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</si>
  <si>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</si>
  <si>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</si>
  <si>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</si>
  <si>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</si>
  <si>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</si>
  <si>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</si>
  <si>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</si>
  <si>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</si>
  <si>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</si>
  <si>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</si>
  <si>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</si>
  <si>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</si>
  <si>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</si>
  <si>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</si>
  <si>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</si>
  <si>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</si>
  <si>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</si>
  <si>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</si>
  <si>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</si>
  <si>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</si>
  <si>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</si>
  <si>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</si>
  <si>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</si>
  <si>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</si>
  <si>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</si>
  <si>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</si>
  <si>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</si>
  <si>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</si>
  <si>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</si>
  <si>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</si>
  <si>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</si>
  <si>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</si>
  <si>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</si>
  <si>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</si>
  <si>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</si>
  <si>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</si>
  <si>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</si>
  <si>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</si>
  <si>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</si>
  <si>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</si>
  <si>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</si>
  <si>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</si>
  <si>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</si>
  <si>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</si>
  <si>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</si>
  <si>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</si>
  <si>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</si>
  <si>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</si>
  <si>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</si>
  <si>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</si>
  <si>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</si>
  <si>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</si>
  <si>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</si>
  <si>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</si>
  <si>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</si>
  <si>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</si>
  <si>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</si>
  <si>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</si>
  <si>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</si>
  <si>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</si>
  <si>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</si>
  <si>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</si>
  <si>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</si>
  <si>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</si>
  <si>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</si>
  <si>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31.03.2019</t>
  </si>
  <si>
    <t>Others - Foreign Exchange gain from FCBU</t>
  </si>
  <si>
    <t xml:space="preserve">Current  </t>
  </si>
  <si>
    <t>Period</t>
  </si>
  <si>
    <t xml:space="preserve">Previous </t>
  </si>
  <si>
    <t>Current</t>
  </si>
  <si>
    <t>Goodwill and intangible assets</t>
  </si>
  <si>
    <t>AS AT 31.03.2019</t>
  </si>
  <si>
    <t>Tier 1 Capital Ratio (%) (Minimum Requirement - 8.50%)</t>
  </si>
  <si>
    <t>Common Equity Tier 1 Capital (%) (Minimum Requirement - 7.00%)</t>
  </si>
  <si>
    <t>Total Capital Ratio (%) (Minimum Requirement - 12.50%)</t>
  </si>
  <si>
    <t>70.772%</t>
  </si>
  <si>
    <t>71.530%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</si>
  <si>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</si>
  <si>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</si>
  <si>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</si>
  <si>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</si>
  <si>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</si>
  <si>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</si>
  <si>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 xml:space="preserve">in INR milion (Audited) </t>
  </si>
  <si>
    <t>NA</t>
  </si>
  <si>
    <t>10.21%</t>
  </si>
  <si>
    <t>Stated capital/Assigned capital</t>
  </si>
  <si>
    <t>31/03/19</t>
  </si>
  <si>
    <t>Leverage Ratio (Minimum Requirement - 3%)</t>
  </si>
  <si>
    <t>Net Stable Funding Ratio (%) - (Minimum Requirement - 90%)</t>
  </si>
  <si>
    <r>
      <t xml:space="preserve">(b) The information contained in these  statements have been extracted from the </t>
    </r>
    <r>
      <rPr>
        <sz val="12"/>
        <color rgb="FFFF0000"/>
        <rFont val="Calibri"/>
        <family val="2"/>
      </rPr>
      <t>audited</t>
    </r>
    <r>
      <rPr>
        <sz val="12"/>
        <rFont val="Calibri"/>
        <family val="2"/>
      </rPr>
      <t xml:space="preserve"> financial statement of the Bank.</t>
    </r>
  </si>
  <si>
    <t xml:space="preserve">        Other Loans (Demand /Staff/Bills/NPA)</t>
  </si>
  <si>
    <t xml:space="preserve">    By Product - Foreign Currency</t>
  </si>
  <si>
    <t>21.30%</t>
  </si>
  <si>
    <t>387.13%</t>
  </si>
  <si>
    <t>ADJUSTMENTS</t>
  </si>
  <si>
    <t>PRODUCT</t>
  </si>
  <si>
    <t>PAYABLE</t>
  </si>
  <si>
    <t xml:space="preserve">          Letters of Credits</t>
  </si>
  <si>
    <t xml:space="preserve">          Bills of Exchange</t>
  </si>
  <si>
    <t xml:space="preserve">          Other Contigent Items</t>
  </si>
  <si>
    <t>Net fair value gains/(losses) on :</t>
  </si>
  <si>
    <t>FOR THE PERIOD ENDED 31.03.2020</t>
  </si>
  <si>
    <t>01.04.2019</t>
  </si>
  <si>
    <t>31.03.2020</t>
  </si>
  <si>
    <t>AS AT 31.03.2020</t>
  </si>
  <si>
    <t>Balance as at 01/04/2019 (Opening balance)</t>
  </si>
  <si>
    <t>Balance as at  31/03/2020 (Closing balance)</t>
  </si>
  <si>
    <t>31/03/20</t>
  </si>
  <si>
    <t>31/03/2020</t>
  </si>
  <si>
    <t>214.44%</t>
  </si>
  <si>
    <t>10.72</t>
  </si>
  <si>
    <t>Date: 15.07.2020</t>
  </si>
  <si>
    <t>22.60%</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</si>
  <si>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
</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</si>
  <si>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III) with effect from  2015.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</si>
</sst>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 #,##0_-;_-* &quot;-&quot;_-;_-@_-"/>
    <numFmt numFmtId="166" formatCode="_(* #,##0.0_);_(* \(#,##0.0\);_(* &quot;-&quot;??_);_(@_)"/>
  </numFmts>
  <fonts count="22"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12"/>
      <color theme="1"/>
      <name val="Calibri"/>
      <family val="2"/>
    </font>
    <font>
      <b/>
      <sz val="12"/>
      <color theme="1"/>
      <name val="Calibri"/>
      <family val="2"/>
    </font>
    <font>
      <b/>
      <sz val="11"/>
      <color theme="1"/>
      <name val="Calibri"/>
      <family val="2"/>
    </font>
    <font>
      <sz val="11"/>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cellStyleXfs>
  <cellXfs count="441">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2" fontId="0" fillId="0" borderId="0" xfId="0" applyNumberFormat="1"/>
    <xf numFmtId="43" fontId="2" fillId="0" borderId="0" xfId="1" applyFont="1"/>
    <xf numFmtId="2" fontId="2" fillId="0" borderId="0" xfId="1" applyNumberFormat="1" applyFont="1"/>
    <xf numFmtId="49" fontId="6" fillId="0" borderId="0" xfId="0" applyNumberFormat="1" applyFont="1" applyBorder="1"/>
    <xf numFmtId="0" fontId="0" fillId="0" borderId="0" xfId="0" applyBorder="1"/>
    <xf numFmtId="0" fontId="3" fillId="0" borderId="0" xfId="0"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6" xfId="0" applyNumberFormat="1" applyFont="1" applyFill="1" applyBorder="1"/>
    <xf numFmtId="49" fontId="5" fillId="2" borderId="17"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164" fontId="5" fillId="0" borderId="15" xfId="1" applyNumberFormat="1" applyFont="1" applyBorder="1" applyAlignment="1"/>
    <xf numFmtId="164" fontId="5" fillId="0" borderId="15" xfId="1" applyNumberFormat="1" applyFont="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49" fontId="5" fillId="0" borderId="5" xfId="0" applyNumberFormat="1" applyFont="1" applyBorder="1" applyAlignment="1">
      <alignment horizontal="center"/>
    </xf>
    <xf numFmtId="49" fontId="5" fillId="0" borderId="0" xfId="0" applyNumberFormat="1" applyFont="1" applyFill="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164" fontId="5" fillId="0" borderId="5" xfId="2" applyNumberFormat="1" applyFont="1" applyFill="1" applyBorder="1"/>
    <xf numFmtId="43" fontId="0" fillId="0" borderId="0" xfId="1" applyFont="1"/>
    <xf numFmtId="164" fontId="9" fillId="0" borderId="0" xfId="1" applyNumberFormat="1" applyFon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4" fillId="0" borderId="5" xfId="1" applyNumberFormat="1" applyFont="1" applyBorder="1" applyAlignment="1">
      <alignment horizontal="center"/>
    </xf>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164" fontId="4" fillId="0" borderId="5" xfId="1" applyNumberFormat="1" applyFont="1" applyBorder="1" applyAlignment="1"/>
    <xf numFmtId="164" fontId="4" fillId="0" borderId="15" xfId="1" applyNumberFormat="1" applyFont="1" applyBorder="1" applyAlignment="1"/>
    <xf numFmtId="49" fontId="4" fillId="0" borderId="5" xfId="0" applyNumberFormat="1" applyFont="1" applyFill="1" applyBorder="1" applyAlignment="1">
      <alignment horizontal="center" vertical="center" wrapText="1"/>
    </xf>
    <xf numFmtId="2" fontId="13" fillId="0" borderId="0" xfId="0" applyNumberFormat="1" applyFont="1"/>
    <xf numFmtId="49" fontId="13"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0" fillId="0" borderId="0" xfId="0" applyNumberFormat="1" applyFill="1"/>
    <xf numFmtId="164" fontId="4" fillId="0" borderId="5" xfId="1" applyNumberFormat="1" applyFont="1" applyFill="1" applyBorder="1"/>
    <xf numFmtId="10" fontId="5" fillId="0" borderId="5" xfId="0" applyNumberFormat="1" applyFont="1" applyFill="1" applyBorder="1" applyAlignment="1">
      <alignment horizontal="right"/>
    </xf>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0" borderId="0" xfId="0" applyNumberFormat="1" applyFont="1" applyFill="1" applyBorder="1"/>
    <xf numFmtId="164" fontId="5" fillId="0" borderId="5" xfId="4" applyNumberFormat="1" applyFont="1" applyBorder="1"/>
    <xf numFmtId="164" fontId="2" fillId="0" borderId="0" xfId="1" applyNumberFormat="1" applyFont="1" applyFill="1"/>
    <xf numFmtId="164" fontId="5" fillId="0" borderId="5" xfId="1" applyNumberFormat="1" applyFont="1" applyFill="1" applyBorder="1" applyAlignment="1">
      <alignment horizontal="right"/>
    </xf>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164" fontId="4" fillId="0" borderId="6" xfId="1" applyNumberFormat="1" applyFont="1" applyBorder="1"/>
    <xf numFmtId="164" fontId="4" fillId="0" borderId="4" xfId="1" applyNumberFormat="1" applyFont="1" applyBorder="1"/>
    <xf numFmtId="49" fontId="3" fillId="0" borderId="0" xfId="0" applyNumberFormat="1" applyFont="1" applyBorder="1"/>
    <xf numFmtId="49" fontId="5" fillId="0" borderId="6" xfId="0" applyNumberFormat="1" applyFont="1" applyBorder="1"/>
    <xf numFmtId="164" fontId="5" fillId="0" borderId="6" xfId="1" applyNumberFormat="1" applyFont="1" applyBorder="1"/>
    <xf numFmtId="164" fontId="5" fillId="0" borderId="4" xfId="1" applyNumberFormat="1" applyFont="1" applyBorder="1"/>
    <xf numFmtId="164" fontId="5" fillId="0" borderId="6" xfId="1" applyNumberFormat="1" applyFont="1" applyFill="1" applyBorder="1"/>
    <xf numFmtId="49" fontId="5" fillId="0" borderId="7" xfId="0" applyNumberFormat="1" applyFont="1" applyBorder="1"/>
    <xf numFmtId="49" fontId="0" fillId="0" borderId="16" xfId="0" applyNumberFormat="1" applyBorder="1"/>
    <xf numFmtId="49" fontId="14" fillId="0" borderId="0" xfId="0" applyNumberFormat="1" applyFont="1"/>
    <xf numFmtId="49" fontId="4" fillId="0" borderId="4" xfId="0" applyNumberFormat="1" applyFont="1" applyBorder="1"/>
    <xf numFmtId="164" fontId="5" fillId="0" borderId="19" xfId="1"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10" fontId="12" fillId="0" borderId="5" xfId="0" applyNumberFormat="1" applyFont="1" applyFill="1" applyBorder="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164" fontId="4" fillId="0" borderId="7" xfId="1" applyNumberFormat="1" applyFont="1" applyBorder="1" applyAlignment="1">
      <alignment horizontal="center" wrapText="1"/>
    </xf>
    <xf numFmtId="164" fontId="4" fillId="0" borderId="7" xfId="2" applyNumberFormat="1" applyFont="1" applyBorder="1" applyAlignment="1">
      <alignment horizontal="center" wrapText="1"/>
    </xf>
    <xf numFmtId="164" fontId="4" fillId="2" borderId="6" xfId="1"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7" xfId="0" applyNumberFormat="1" applyFont="1" applyFill="1" applyBorder="1" applyAlignment="1">
      <alignment horizontal="center" wrapText="1"/>
    </xf>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wrapText="1"/>
    </xf>
    <xf numFmtId="164" fontId="4" fillId="0" borderId="7"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164" fontId="5" fillId="0" borderId="5" xfId="2" applyNumberFormat="1" applyFont="1" applyFill="1" applyBorder="1" applyAlignment="1">
      <alignment horizontal="right"/>
    </xf>
    <xf numFmtId="10" fontId="5" fillId="0" borderId="5" xfId="2" applyNumberFormat="1" applyFont="1" applyFill="1" applyBorder="1"/>
    <xf numFmtId="43" fontId="3" fillId="0" borderId="0" xfId="1" applyFont="1"/>
    <xf numFmtId="49" fontId="1" fillId="0" borderId="0" xfId="0" applyNumberFormat="1" applyFont="1"/>
    <xf numFmtId="43" fontId="1" fillId="0" borderId="0" xfId="1" applyFont="1"/>
    <xf numFmtId="164" fontId="5" fillId="0" borderId="5" xfId="1" applyNumberFormat="1" applyFont="1" applyBorder="1" applyAlignment="1">
      <alignment horizontal="right"/>
    </xf>
    <xf numFmtId="2" fontId="4" fillId="0" borderId="7" xfId="1" applyNumberFormat="1" applyFont="1" applyFill="1" applyBorder="1" applyAlignment="1">
      <alignment horizontal="center"/>
    </xf>
    <xf numFmtId="2" fontId="5" fillId="0" borderId="5" xfId="1" applyNumberFormat="1" applyFont="1" applyFill="1" applyBorder="1"/>
    <xf numFmtId="164" fontId="5" fillId="0" borderId="20"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10" fontId="5" fillId="0" borderId="5" xfId="3" applyNumberFormat="1"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3" fontId="5" fillId="0" borderId="5" xfId="1" applyNumberFormat="1" applyFont="1" applyFill="1" applyBorder="1" applyAlignment="1">
      <alignment horizontal="right"/>
    </xf>
    <xf numFmtId="49" fontId="4" fillId="0" borderId="5" xfId="0" applyNumberFormat="1" applyFont="1" applyFill="1" applyBorder="1" applyAlignment="1">
      <alignment horizontal="center"/>
    </xf>
    <xf numFmtId="164" fontId="5" fillId="4" borderId="1" xfId="1" applyNumberFormat="1" applyFont="1" applyFill="1" applyBorder="1"/>
    <xf numFmtId="164" fontId="4" fillId="4" borderId="4" xfId="1" applyNumberFormat="1" applyFont="1" applyFill="1" applyBorder="1" applyAlignment="1">
      <alignment horizontal="center" wrapText="1"/>
    </xf>
    <xf numFmtId="164" fontId="4" fillId="4" borderId="7" xfId="1" applyNumberFormat="1" applyFont="1" applyFill="1" applyBorder="1" applyAlignment="1">
      <alignment horizontal="center"/>
    </xf>
    <xf numFmtId="49" fontId="4" fillId="4" borderId="7" xfId="0" applyNumberFormat="1" applyFont="1" applyFill="1" applyBorder="1" applyAlignment="1">
      <alignment horizontal="center"/>
    </xf>
    <xf numFmtId="164" fontId="4" fillId="4" borderId="6" xfId="1" applyNumberFormat="1" applyFont="1" applyFill="1" applyBorder="1" applyAlignment="1">
      <alignment horizontal="center"/>
    </xf>
    <xf numFmtId="164" fontId="4" fillId="4" borderId="5" xfId="1" applyNumberFormat="1" applyFont="1" applyFill="1" applyBorder="1"/>
    <xf numFmtId="164" fontId="5" fillId="4" borderId="5" xfId="1" applyNumberFormat="1" applyFont="1" applyFill="1" applyBorder="1"/>
    <xf numFmtId="164" fontId="5" fillId="4" borderId="6" xfId="1" applyNumberFormat="1" applyFont="1" applyFill="1" applyBorder="1"/>
    <xf numFmtId="164" fontId="2" fillId="4" borderId="0" xfId="1" applyNumberFormat="1" applyFont="1" applyFill="1"/>
    <xf numFmtId="164" fontId="4" fillId="4" borderId="7" xfId="1" applyNumberFormat="1" applyFont="1" applyFill="1" applyBorder="1" applyAlignment="1">
      <alignment horizontal="center" wrapText="1"/>
    </xf>
    <xf numFmtId="2" fontId="4" fillId="4" borderId="6" xfId="1" applyNumberFormat="1" applyFont="1" applyFill="1" applyBorder="1" applyAlignment="1">
      <alignment horizontal="center"/>
    </xf>
    <xf numFmtId="2" fontId="4" fillId="4" borderId="7" xfId="1" applyNumberFormat="1" applyFont="1" applyFill="1" applyBorder="1" applyAlignment="1">
      <alignment horizontal="center"/>
    </xf>
    <xf numFmtId="2" fontId="5" fillId="4" borderId="5" xfId="1" applyNumberFormat="1" applyFont="1" applyFill="1" applyBorder="1"/>
    <xf numFmtId="164" fontId="5" fillId="4" borderId="5" xfId="4" applyNumberFormat="1" applyFont="1" applyFill="1" applyBorder="1"/>
    <xf numFmtId="2" fontId="2" fillId="4" borderId="0" xfId="1" applyNumberFormat="1" applyFont="1" applyFill="1"/>
    <xf numFmtId="164" fontId="5" fillId="4" borderId="5" xfId="2" applyNumberFormat="1" applyFont="1" applyFill="1" applyBorder="1" applyAlignment="1">
      <alignment horizontal="right"/>
    </xf>
    <xf numFmtId="2" fontId="4" fillId="4" borderId="5" xfId="0" applyNumberFormat="1" applyFont="1" applyFill="1" applyBorder="1"/>
    <xf numFmtId="164" fontId="4" fillId="4" borderId="26" xfId="2" applyNumberFormat="1" applyFont="1" applyFill="1" applyBorder="1" applyAlignment="1">
      <alignment horizontal="right"/>
    </xf>
    <xf numFmtId="164" fontId="4" fillId="4" borderId="5" xfId="2" applyNumberFormat="1" applyFont="1" applyFill="1" applyBorder="1" applyAlignment="1">
      <alignment horizontal="right"/>
    </xf>
    <xf numFmtId="164" fontId="5" fillId="4" borderId="6" xfId="2" applyNumberFormat="1" applyFont="1" applyFill="1" applyBorder="1" applyAlignment="1">
      <alignment horizontal="right"/>
    </xf>
    <xf numFmtId="49" fontId="4" fillId="4" borderId="5" xfId="0" applyNumberFormat="1" applyFont="1" applyFill="1" applyBorder="1" applyAlignment="1">
      <alignment horizontal="center" vertical="center" wrapText="1"/>
    </xf>
    <xf numFmtId="43" fontId="5" fillId="0" borderId="0" xfId="1" applyFont="1"/>
    <xf numFmtId="12" fontId="5" fillId="0" borderId="0" xfId="1" applyNumberFormat="1" applyFont="1"/>
    <xf numFmtId="3" fontId="5" fillId="4" borderId="5" xfId="0" applyNumberFormat="1" applyFont="1" applyFill="1" applyBorder="1" applyAlignment="1">
      <alignment horizontal="right"/>
    </xf>
    <xf numFmtId="10" fontId="5" fillId="4" borderId="5" xfId="3" applyNumberFormat="1" applyFont="1" applyFill="1" applyBorder="1" applyAlignment="1">
      <alignment horizontal="right"/>
    </xf>
    <xf numFmtId="9" fontId="5" fillId="4" borderId="5" xfId="3" applyFont="1" applyFill="1" applyBorder="1" applyAlignment="1">
      <alignment horizontal="right"/>
    </xf>
    <xf numFmtId="49" fontId="5" fillId="4" borderId="5" xfId="0" applyNumberFormat="1" applyFont="1" applyFill="1" applyBorder="1" applyAlignment="1">
      <alignment horizontal="right"/>
    </xf>
    <xf numFmtId="164" fontId="5" fillId="4" borderId="5" xfId="1" applyNumberFormat="1" applyFont="1" applyFill="1" applyBorder="1" applyAlignment="1">
      <alignment horizontal="right"/>
    </xf>
    <xf numFmtId="10" fontId="12" fillId="4" borderId="5" xfId="0" applyNumberFormat="1" applyFont="1" applyFill="1" applyBorder="1"/>
    <xf numFmtId="164" fontId="18" fillId="4" borderId="5" xfId="1" applyNumberFormat="1" applyFont="1" applyFill="1" applyBorder="1"/>
    <xf numFmtId="1" fontId="0" fillId="0" borderId="0" xfId="0" applyNumberFormat="1" applyFont="1" applyFill="1"/>
    <xf numFmtId="0" fontId="7" fillId="0" borderId="0" xfId="0" applyFont="1" applyAlignment="1">
      <alignment horizontal="left" wrapText="1"/>
    </xf>
    <xf numFmtId="0" fontId="7" fillId="0" borderId="0" xfId="0" applyFont="1" applyAlignment="1">
      <alignment horizontal="left"/>
    </xf>
    <xf numFmtId="10" fontId="5" fillId="4" borderId="5" xfId="1" applyNumberFormat="1" applyFont="1" applyFill="1" applyBorder="1"/>
    <xf numFmtId="164" fontId="4" fillId="4" borderId="6" xfId="2" applyNumberFormat="1" applyFont="1" applyFill="1" applyBorder="1" applyAlignment="1">
      <alignment horizontal="center"/>
    </xf>
    <xf numFmtId="49" fontId="18" fillId="5" borderId="3" xfId="0" applyNumberFormat="1" applyFont="1" applyFill="1" applyBorder="1"/>
    <xf numFmtId="49" fontId="18" fillId="5" borderId="19" xfId="0" applyNumberFormat="1" applyFont="1" applyFill="1" applyBorder="1"/>
    <xf numFmtId="49" fontId="0" fillId="0" borderId="0" xfId="0" applyNumberFormat="1" applyFont="1"/>
    <xf numFmtId="49" fontId="18" fillId="5" borderId="1" xfId="0" applyNumberFormat="1" applyFont="1" applyFill="1" applyBorder="1"/>
    <xf numFmtId="49" fontId="18" fillId="5" borderId="20" xfId="0" applyNumberFormat="1" applyFont="1" applyFill="1" applyBorder="1"/>
    <xf numFmtId="49" fontId="19" fillId="2" borderId="3" xfId="0" applyNumberFormat="1" applyFont="1" applyFill="1" applyBorder="1"/>
    <xf numFmtId="0" fontId="0" fillId="2" borderId="4" xfId="0" applyFont="1" applyFill="1" applyBorder="1" applyAlignment="1"/>
    <xf numFmtId="49" fontId="19" fillId="2" borderId="4" xfId="0" applyNumberFormat="1" applyFont="1" applyFill="1" applyBorder="1" applyAlignment="1">
      <alignment horizontal="center"/>
    </xf>
    <xf numFmtId="49" fontId="19" fillId="2" borderId="4" xfId="0" applyNumberFormat="1" applyFont="1" applyFill="1" applyBorder="1" applyAlignment="1">
      <alignment horizontal="right"/>
    </xf>
    <xf numFmtId="49" fontId="19" fillId="0" borderId="0" xfId="0" applyNumberFormat="1" applyFont="1" applyFill="1" applyBorder="1"/>
    <xf numFmtId="49" fontId="19" fillId="2" borderId="7" xfId="0" applyNumberFormat="1" applyFont="1" applyFill="1" applyBorder="1" applyAlignment="1">
      <alignment horizontal="center" wrapText="1"/>
    </xf>
    <xf numFmtId="49" fontId="19" fillId="2" borderId="7" xfId="0" applyNumberFormat="1" applyFont="1" applyFill="1" applyBorder="1" applyAlignment="1">
      <alignment horizontal="center"/>
    </xf>
    <xf numFmtId="49" fontId="18" fillId="2" borderId="0" xfId="0" applyNumberFormat="1" applyFont="1" applyFill="1" applyBorder="1"/>
    <xf numFmtId="49" fontId="18" fillId="2" borderId="1" xfId="0" applyNumberFormat="1" applyFont="1" applyFill="1" applyBorder="1"/>
    <xf numFmtId="49" fontId="19" fillId="2" borderId="6" xfId="0" applyNumberFormat="1" applyFont="1" applyFill="1" applyBorder="1" applyAlignment="1">
      <alignment horizontal="center"/>
    </xf>
    <xf numFmtId="49" fontId="19" fillId="2" borderId="6" xfId="0" applyNumberFormat="1" applyFont="1" applyFill="1" applyBorder="1" applyAlignment="1">
      <alignment horizontal="center" wrapText="1"/>
    </xf>
    <xf numFmtId="49" fontId="19" fillId="0" borderId="5" xfId="0" applyNumberFormat="1" applyFont="1" applyBorder="1"/>
    <xf numFmtId="164" fontId="19" fillId="0" borderId="5" xfId="2" applyNumberFormat="1" applyFont="1" applyBorder="1"/>
    <xf numFmtId="49" fontId="20" fillId="0" borderId="0" xfId="0" applyNumberFormat="1" applyFont="1"/>
    <xf numFmtId="49" fontId="19" fillId="0" borderId="5" xfId="0" applyNumberFormat="1" applyFont="1" applyBorder="1" applyAlignment="1"/>
    <xf numFmtId="49" fontId="18" fillId="0" borderId="5" xfId="0" applyNumberFormat="1" applyFont="1" applyBorder="1" applyAlignment="1"/>
    <xf numFmtId="164" fontId="18" fillId="0" borderId="5" xfId="2" applyNumberFormat="1" applyFont="1" applyBorder="1"/>
    <xf numFmtId="49" fontId="18" fillId="0" borderId="5" xfId="0" applyNumberFormat="1" applyFont="1" applyBorder="1"/>
    <xf numFmtId="49" fontId="19" fillId="0" borderId="4" xfId="0" applyNumberFormat="1" applyFont="1" applyBorder="1"/>
    <xf numFmtId="164" fontId="18" fillId="0" borderId="4" xfId="1" applyNumberFormat="1" applyFont="1" applyBorder="1"/>
    <xf numFmtId="164" fontId="18" fillId="0" borderId="19" xfId="1" applyNumberFormat="1" applyFont="1" applyBorder="1"/>
    <xf numFmtId="164" fontId="19" fillId="0" borderId="4" xfId="1" applyNumberFormat="1" applyFont="1" applyBorder="1"/>
    <xf numFmtId="49" fontId="19" fillId="0" borderId="6" xfId="0" applyNumberFormat="1" applyFont="1" applyBorder="1"/>
    <xf numFmtId="164" fontId="18" fillId="0" borderId="6" xfId="1" applyNumberFormat="1" applyFont="1" applyBorder="1"/>
    <xf numFmtId="164" fontId="19" fillId="0" borderId="6" xfId="1" applyNumberFormat="1" applyFont="1" applyBorder="1"/>
    <xf numFmtId="49" fontId="18" fillId="0" borderId="4" xfId="0" applyNumberFormat="1" applyFont="1" applyBorder="1"/>
    <xf numFmtId="49" fontId="18" fillId="0" borderId="6" xfId="0" applyNumberFormat="1" applyFont="1" applyBorder="1"/>
    <xf numFmtId="49" fontId="0" fillId="0" borderId="0" xfId="0" applyNumberFormat="1" applyFont="1" applyBorder="1"/>
    <xf numFmtId="164" fontId="19" fillId="0" borderId="0" xfId="1" applyNumberFormat="1" applyFont="1" applyBorder="1"/>
    <xf numFmtId="43" fontId="21" fillId="0" borderId="0" xfId="1" applyFont="1"/>
    <xf numFmtId="43" fontId="20" fillId="0" borderId="0" xfId="1" applyFont="1"/>
    <xf numFmtId="164" fontId="18" fillId="4" borderId="5" xfId="2" applyNumberFormat="1" applyFont="1" applyFill="1" applyBorder="1"/>
    <xf numFmtId="164" fontId="19" fillId="4" borderId="26" xfId="2" applyNumberFormat="1" applyFont="1" applyFill="1" applyBorder="1"/>
    <xf numFmtId="164" fontId="18" fillId="4" borderId="6" xfId="2" applyNumberFormat="1" applyFont="1" applyFill="1" applyBorder="1"/>
    <xf numFmtId="164" fontId="18" fillId="4" borderId="5" xfId="2" applyNumberFormat="1" applyFont="1" applyFill="1" applyBorder="1" applyAlignment="1">
      <alignment horizontal="right"/>
    </xf>
    <xf numFmtId="164" fontId="19" fillId="4" borderId="26" xfId="2" applyNumberFormat="1" applyFont="1" applyFill="1" applyBorder="1" applyAlignment="1">
      <alignment horizontal="right"/>
    </xf>
    <xf numFmtId="164" fontId="18" fillId="4" borderId="4" xfId="2" applyNumberFormat="1" applyFont="1" applyFill="1" applyBorder="1" applyAlignment="1">
      <alignment horizontal="right"/>
    </xf>
    <xf numFmtId="164" fontId="19" fillId="4" borderId="5" xfId="2" applyNumberFormat="1" applyFont="1" applyFill="1" applyBorder="1" applyAlignment="1">
      <alignment horizontal="right"/>
    </xf>
    <xf numFmtId="164" fontId="18" fillId="4" borderId="6" xfId="2" applyNumberFormat="1" applyFont="1" applyFill="1" applyBorder="1" applyAlignment="1">
      <alignment horizontal="right"/>
    </xf>
    <xf numFmtId="166" fontId="18" fillId="4" borderId="5" xfId="2" applyNumberFormat="1" applyFont="1" applyFill="1" applyBorder="1" applyAlignment="1">
      <alignment horizontal="right"/>
    </xf>
    <xf numFmtId="43" fontId="5" fillId="0" borderId="6" xfId="1" applyFont="1" applyFill="1" applyBorder="1"/>
    <xf numFmtId="49" fontId="4" fillId="4" borderId="7" xfId="0" applyNumberFormat="1" applyFont="1" applyFill="1" applyBorder="1" applyAlignment="1">
      <alignment horizontal="center" wrapText="1"/>
    </xf>
    <xf numFmtId="49" fontId="4" fillId="4" borderId="6" xfId="0" applyNumberFormat="1" applyFont="1" applyFill="1" applyBorder="1" applyAlignment="1">
      <alignment horizontal="center" wrapText="1"/>
    </xf>
    <xf numFmtId="164" fontId="4" fillId="4" borderId="26" xfId="1" applyNumberFormat="1" applyFont="1" applyFill="1" applyBorder="1"/>
    <xf numFmtId="164" fontId="4" fillId="4" borderId="26" xfId="1" applyNumberFormat="1" applyFont="1" applyFill="1" applyBorder="1" applyAlignment="1">
      <alignment horizontal="right"/>
    </xf>
    <xf numFmtId="164" fontId="5" fillId="4" borderId="4" xfId="1" applyNumberFormat="1" applyFont="1" applyFill="1" applyBorder="1" applyAlignment="1">
      <alignment horizontal="right"/>
    </xf>
    <xf numFmtId="164" fontId="4" fillId="4" borderId="5" xfId="1" applyNumberFormat="1" applyFont="1" applyFill="1" applyBorder="1" applyAlignment="1">
      <alignment horizontal="right"/>
    </xf>
    <xf numFmtId="164" fontId="5" fillId="4" borderId="6" xfId="1" applyNumberFormat="1" applyFont="1" applyFill="1" applyBorder="1" applyAlignment="1">
      <alignment horizontal="right"/>
    </xf>
    <xf numFmtId="0" fontId="0" fillId="4" borderId="0" xfId="0" applyFill="1"/>
    <xf numFmtId="3" fontId="5" fillId="4" borderId="5" xfId="1" applyNumberFormat="1" applyFont="1" applyFill="1" applyBorder="1" applyAlignment="1">
      <alignment horizontal="right"/>
    </xf>
    <xf numFmtId="10" fontId="5" fillId="4" borderId="5" xfId="0" applyNumberFormat="1" applyFont="1" applyFill="1" applyBorder="1" applyAlignment="1">
      <alignment horizontal="right"/>
    </xf>
    <xf numFmtId="10" fontId="5" fillId="4" borderId="5" xfId="3" applyNumberFormat="1" applyFont="1" applyFill="1" applyBorder="1" applyAlignment="1">
      <alignment horizontal="center"/>
    </xf>
    <xf numFmtId="164" fontId="19" fillId="4" borderId="5" xfId="1" applyNumberFormat="1" applyFont="1" applyFill="1" applyBorder="1"/>
    <xf numFmtId="49" fontId="5" fillId="4" borderId="0" xfId="0" applyNumberFormat="1" applyFont="1" applyFill="1" applyAlignment="1">
      <alignment horizontal="left"/>
    </xf>
    <xf numFmtId="49" fontId="5" fillId="4" borderId="0" xfId="0" applyNumberFormat="1" applyFont="1" applyFill="1"/>
    <xf numFmtId="164" fontId="4" fillId="4" borderId="0" xfId="1" applyNumberFormat="1" applyFont="1" applyFill="1" applyBorder="1"/>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1"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5" xfId="1" applyNumberFormat="1" applyFont="1" applyBorder="1" applyAlignment="1">
      <alignment horizontal="center"/>
    </xf>
    <xf numFmtId="164" fontId="4" fillId="0" borderId="18" xfId="1" applyNumberFormat="1" applyFont="1" applyFill="1" applyBorder="1" applyAlignment="1">
      <alignment horizontal="center"/>
    </xf>
    <xf numFmtId="164" fontId="4" fillId="0" borderId="15" xfId="1" applyNumberFormat="1" applyFont="1" applyFill="1" applyBorder="1" applyAlignment="1">
      <alignment horizontal="center"/>
    </xf>
    <xf numFmtId="164" fontId="5" fillId="4" borderId="4" xfId="1" applyNumberFormat="1" applyFont="1" applyFill="1" applyBorder="1" applyAlignment="1">
      <alignment horizontal="center" vertical="center"/>
    </xf>
    <xf numFmtId="164" fontId="5" fillId="4" borderId="6" xfId="1" applyNumberFormat="1" applyFont="1" applyFill="1" applyBorder="1" applyAlignment="1">
      <alignment horizontal="center" vertical="center"/>
    </xf>
    <xf numFmtId="164" fontId="5" fillId="0" borderId="4" xfId="1" applyNumberFormat="1" applyFont="1" applyBorder="1" applyAlignment="1">
      <alignment horizontal="center" vertical="center"/>
    </xf>
    <xf numFmtId="164" fontId="5" fillId="0" borderId="6" xfId="1" applyNumberFormat="1" applyFont="1" applyBorder="1" applyAlignment="1">
      <alignment horizontal="center" vertic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4" borderId="7" xfId="1" applyNumberFormat="1" applyFont="1" applyFill="1" applyBorder="1" applyAlignment="1">
      <alignment horizontal="center" vertical="center"/>
    </xf>
    <xf numFmtId="164" fontId="5" fillId="0" borderId="7" xfId="1" applyNumberFormat="1" applyFont="1" applyBorder="1" applyAlignment="1">
      <alignment horizontal="center" vertical="center"/>
    </xf>
    <xf numFmtId="164" fontId="5" fillId="0" borderId="7" xfId="1" applyNumberFormat="1" applyFont="1" applyFill="1" applyBorder="1" applyAlignment="1">
      <alignment horizontal="center" vertical="center"/>
    </xf>
    <xf numFmtId="2" fontId="4" fillId="0" borderId="18" xfId="1" applyNumberFormat="1" applyFont="1" applyBorder="1" applyAlignment="1">
      <alignment horizontal="center"/>
    </xf>
    <xf numFmtId="2" fontId="4" fillId="0" borderId="15" xfId="1" applyNumberFormat="1" applyFont="1" applyBorder="1" applyAlignment="1">
      <alignment horizont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19" fillId="0" borderId="4" xfId="2" applyNumberFormat="1" applyFont="1" applyBorder="1" applyAlignment="1">
      <alignment horizontal="center" vertical="center"/>
    </xf>
    <xf numFmtId="164" fontId="19"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164" fontId="5" fillId="0" borderId="6" xfId="2" applyNumberFormat="1" applyFont="1" applyBorder="1" applyAlignment="1">
      <alignment horizontal="center" vertical="center"/>
    </xf>
    <xf numFmtId="164" fontId="4" fillId="0" borderId="4" xfId="1" applyNumberFormat="1" applyFont="1" applyBorder="1" applyAlignment="1">
      <alignment horizontal="center" vertical="center"/>
    </xf>
    <xf numFmtId="164" fontId="4" fillId="0" borderId="6" xfId="1" applyNumberFormat="1" applyFont="1" applyBorder="1" applyAlignment="1">
      <alignment horizontal="center" vertical="center"/>
    </xf>
    <xf numFmtId="49" fontId="19" fillId="2" borderId="7" xfId="0" applyNumberFormat="1" applyFont="1" applyFill="1" applyBorder="1" applyAlignment="1">
      <alignment horizontal="center" vertical="center" wrapText="1"/>
    </xf>
    <xf numFmtId="49" fontId="19" fillId="2" borderId="6" xfId="0" applyNumberFormat="1" applyFont="1" applyFill="1" applyBorder="1" applyAlignment="1">
      <alignment horizontal="center" vertical="center" wrapText="1"/>
    </xf>
    <xf numFmtId="164" fontId="18" fillId="0" borderId="4" xfId="2" applyNumberFormat="1" applyFont="1" applyBorder="1" applyAlignment="1">
      <alignment horizontal="center" vertical="center"/>
    </xf>
    <xf numFmtId="164" fontId="18" fillId="0" borderId="6" xfId="2" applyNumberFormat="1" applyFont="1" applyBorder="1" applyAlignment="1">
      <alignment horizontal="center" vertical="center"/>
    </xf>
    <xf numFmtId="49" fontId="19" fillId="7" borderId="18" xfId="0" applyNumberFormat="1" applyFont="1" applyFill="1" applyBorder="1" applyAlignment="1">
      <alignment horizontal="center"/>
    </xf>
    <xf numFmtId="49" fontId="19" fillId="7" borderId="2" xfId="0" applyNumberFormat="1" applyFont="1" applyFill="1" applyBorder="1" applyAlignment="1">
      <alignment horizontal="center"/>
    </xf>
    <xf numFmtId="49" fontId="19" fillId="7" borderId="15"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19" fillId="5" borderId="4" xfId="0" applyNumberFormat="1" applyFont="1" applyFill="1" applyBorder="1" applyAlignment="1">
      <alignment horizontal="center" vertical="center"/>
    </xf>
    <xf numFmtId="49" fontId="19" fillId="5"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4" borderId="4" xfId="0" applyNumberFormat="1" applyFont="1" applyFill="1" applyBorder="1" applyAlignment="1">
      <alignment horizontal="right" vertical="center"/>
    </xf>
    <xf numFmtId="49" fontId="5" fillId="4" borderId="6" xfId="0" applyNumberFormat="1" applyFont="1" applyFill="1" applyBorder="1" applyAlignment="1">
      <alignment horizontal="right"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49" fontId="4" fillId="6" borderId="16" xfId="0" applyNumberFormat="1" applyFont="1" applyFill="1" applyBorder="1" applyAlignment="1">
      <alignment horizontal="center"/>
    </xf>
    <xf numFmtId="49" fontId="4" fillId="6" borderId="0" xfId="0" applyNumberFormat="1" applyFont="1" applyFill="1" applyBorder="1" applyAlignment="1">
      <alignment horizontal="center"/>
    </xf>
    <xf numFmtId="0" fontId="13" fillId="2" borderId="27" xfId="0" applyFont="1" applyFill="1" applyBorder="1" applyAlignment="1">
      <alignment horizontal="left"/>
    </xf>
    <xf numFmtId="0" fontId="13" fillId="2" borderId="15" xfId="0" applyFont="1" applyFill="1"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vertical="center"/>
    </xf>
    <xf numFmtId="0" fontId="3" fillId="0" borderId="15" xfId="0" applyFont="1" applyBorder="1" applyAlignment="1">
      <alignment horizontal="center" vertical="center"/>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13" fillId="2" borderId="29" xfId="0" applyFont="1" applyFill="1" applyBorder="1" applyAlignment="1">
      <alignment horizontal="left"/>
    </xf>
    <xf numFmtId="0" fontId="13" fillId="2" borderId="24" xfId="0" applyFont="1" applyFill="1"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66" fontId="4" fillId="0" borderId="5" xfId="1" applyNumberFormat="1" applyFont="1" applyBorder="1" applyAlignment="1"/>
  </cellXfs>
  <cellStyles count="5">
    <cellStyle name="Comma" xfId="1" builtinId="3"/>
    <cellStyle name="Comma 2" xfId="2"/>
    <cellStyle name="Comma 3" xf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topLeftCell="A28" zoomScale="80" zoomScaleNormal="80" workbookViewId="0">
      <selection activeCell="J45" sqref="J45"/>
    </sheetView>
  </sheetViews>
  <sheetFormatPr defaultRowHeight="15" x14ac:dyDescent="0.25"/>
  <cols>
    <col min="1" max="1" width="2.140625" style="1" customWidth="1"/>
    <col min="2" max="2" width="62.7109375" style="1" customWidth="1"/>
    <col min="3" max="3" width="13.85546875" style="253" customWidth="1"/>
    <col min="4" max="4" width="12.7109375" style="8" bestFit="1" customWidth="1"/>
    <col min="5" max="6" width="12.7109375" style="150" bestFit="1" customWidth="1"/>
    <col min="7" max="7" width="10.140625" style="1" bestFit="1" customWidth="1"/>
    <col min="8" max="8" width="15.140625" style="57" bestFit="1" customWidth="1"/>
    <col min="9" max="9" width="16.28515625" style="1" bestFit="1" customWidth="1"/>
    <col min="10" max="10" width="9.140625" style="1" customWidth="1"/>
    <col min="11" max="16384" width="9.140625" style="1"/>
  </cols>
  <sheetData>
    <row r="1" spans="2:8" ht="15.75" x14ac:dyDescent="0.25">
      <c r="B1" s="343" t="s">
        <v>21</v>
      </c>
      <c r="C1" s="344"/>
      <c r="D1" s="344"/>
      <c r="E1" s="344"/>
      <c r="F1" s="345"/>
    </row>
    <row r="2" spans="2:8" ht="15.75" x14ac:dyDescent="0.25">
      <c r="B2" s="346" t="s">
        <v>0</v>
      </c>
      <c r="C2" s="347"/>
      <c r="D2" s="347"/>
      <c r="E2" s="347"/>
      <c r="F2" s="348"/>
    </row>
    <row r="3" spans="2:8" ht="15.75" x14ac:dyDescent="0.25">
      <c r="B3" s="352" t="s">
        <v>354</v>
      </c>
      <c r="C3" s="353"/>
      <c r="D3" s="353"/>
      <c r="E3" s="353"/>
      <c r="F3" s="354"/>
    </row>
    <row r="4" spans="2:8" ht="15.75" x14ac:dyDescent="0.25">
      <c r="B4" s="349"/>
      <c r="C4" s="350"/>
      <c r="D4" s="350"/>
      <c r="E4" s="350"/>
      <c r="F4" s="351"/>
    </row>
    <row r="5" spans="2:8" ht="15.75" x14ac:dyDescent="0.25">
      <c r="B5" s="41"/>
      <c r="C5" s="341" t="s">
        <v>16</v>
      </c>
      <c r="D5" s="341"/>
      <c r="E5" s="342" t="s">
        <v>25</v>
      </c>
      <c r="F5" s="342"/>
    </row>
    <row r="6" spans="2:8" ht="15.75" x14ac:dyDescent="0.25">
      <c r="B6" s="42" t="s">
        <v>188</v>
      </c>
      <c r="C6" s="246" t="s">
        <v>318</v>
      </c>
      <c r="D6" s="123" t="s">
        <v>320</v>
      </c>
      <c r="E6" s="205" t="s">
        <v>321</v>
      </c>
      <c r="F6" s="206" t="s">
        <v>320</v>
      </c>
    </row>
    <row r="7" spans="2:8" ht="15.75" x14ac:dyDescent="0.25">
      <c r="B7" s="42"/>
      <c r="C7" s="254" t="s">
        <v>319</v>
      </c>
      <c r="D7" s="196" t="s">
        <v>319</v>
      </c>
      <c r="E7" s="207" t="s">
        <v>319</v>
      </c>
      <c r="F7" s="208" t="s">
        <v>319</v>
      </c>
    </row>
    <row r="8" spans="2:8" ht="15.75" x14ac:dyDescent="0.25">
      <c r="B8" s="42"/>
      <c r="C8" s="247" t="s">
        <v>18</v>
      </c>
      <c r="D8" s="124" t="s">
        <v>18</v>
      </c>
      <c r="E8" s="209" t="s">
        <v>18</v>
      </c>
      <c r="F8" s="210" t="s">
        <v>18</v>
      </c>
    </row>
    <row r="9" spans="2:8" ht="15.75" x14ac:dyDescent="0.25">
      <c r="B9" s="40"/>
      <c r="C9" s="247" t="s">
        <v>355</v>
      </c>
      <c r="D9" s="124" t="s">
        <v>170</v>
      </c>
      <c r="E9" s="85" t="s">
        <v>355</v>
      </c>
      <c r="F9" s="124" t="s">
        <v>170</v>
      </c>
    </row>
    <row r="10" spans="2:8" ht="15.75" x14ac:dyDescent="0.25">
      <c r="B10" s="40"/>
      <c r="C10" s="247" t="s">
        <v>19</v>
      </c>
      <c r="D10" s="124" t="s">
        <v>19</v>
      </c>
      <c r="E10" s="85" t="s">
        <v>19</v>
      </c>
      <c r="F10" s="124" t="s">
        <v>19</v>
      </c>
    </row>
    <row r="11" spans="2:8" ht="15.75" x14ac:dyDescent="0.25">
      <c r="B11" s="40"/>
      <c r="C11" s="248" t="s">
        <v>356</v>
      </c>
      <c r="D11" s="59" t="s">
        <v>316</v>
      </c>
      <c r="E11" s="59" t="s">
        <v>356</v>
      </c>
      <c r="F11" s="59" t="s">
        <v>316</v>
      </c>
    </row>
    <row r="12" spans="2:8" ht="15.75" x14ac:dyDescent="0.25">
      <c r="B12" s="40"/>
      <c r="C12" s="249" t="s">
        <v>99</v>
      </c>
      <c r="D12" s="125" t="s">
        <v>99</v>
      </c>
      <c r="E12" s="211" t="s">
        <v>100</v>
      </c>
      <c r="F12" s="211" t="s">
        <v>100</v>
      </c>
    </row>
    <row r="13" spans="2:8" ht="15.75" x14ac:dyDescent="0.25">
      <c r="B13" s="104"/>
      <c r="C13" s="255" t="s">
        <v>126</v>
      </c>
      <c r="D13" s="87" t="s">
        <v>126</v>
      </c>
      <c r="E13" s="212" t="s">
        <v>126</v>
      </c>
      <c r="F13" s="212" t="s">
        <v>126</v>
      </c>
    </row>
    <row r="14" spans="2:8" ht="15.75" x14ac:dyDescent="0.25">
      <c r="B14" s="23" t="s">
        <v>1</v>
      </c>
      <c r="C14" s="251">
        <v>2251</v>
      </c>
      <c r="D14" s="97">
        <v>1799.1631400000001</v>
      </c>
      <c r="E14" s="251">
        <v>174061</v>
      </c>
      <c r="F14" s="112">
        <v>176312.61222000001</v>
      </c>
      <c r="G14" s="113"/>
    </row>
    <row r="15" spans="2:8" ht="15.75" x14ac:dyDescent="0.25">
      <c r="B15" s="23" t="s">
        <v>2</v>
      </c>
      <c r="C15" s="251">
        <v>906</v>
      </c>
      <c r="D15" s="97">
        <v>680.06773199999998</v>
      </c>
      <c r="E15" s="251">
        <v>121033</v>
      </c>
      <c r="F15" s="112">
        <v>123521.278527</v>
      </c>
      <c r="G15" s="113"/>
    </row>
    <row r="16" spans="2:8" s="9" customFormat="1" ht="15.75" x14ac:dyDescent="0.25">
      <c r="B16" s="22" t="s">
        <v>3</v>
      </c>
      <c r="C16" s="250">
        <f>+C14-C15</f>
        <v>1345</v>
      </c>
      <c r="D16" s="26">
        <v>1119.0954080000001</v>
      </c>
      <c r="E16" s="250">
        <f t="shared" ref="E16" si="0">+E14-E15</f>
        <v>53028</v>
      </c>
      <c r="F16" s="143">
        <v>52791.333693000008</v>
      </c>
      <c r="G16" s="215"/>
      <c r="H16" s="340"/>
    </row>
    <row r="17" spans="2:8" ht="15.75" x14ac:dyDescent="0.25">
      <c r="B17" s="23" t="s">
        <v>4</v>
      </c>
      <c r="C17" s="251">
        <v>108</v>
      </c>
      <c r="D17" s="97">
        <v>100.09710800000001</v>
      </c>
      <c r="E17" s="251">
        <v>8468</v>
      </c>
      <c r="F17" s="112">
        <v>9313.8873669999994</v>
      </c>
      <c r="G17" s="113"/>
    </row>
    <row r="18" spans="2:8" ht="15.75" x14ac:dyDescent="0.25">
      <c r="B18" s="23" t="s">
        <v>5</v>
      </c>
      <c r="C18" s="251">
        <v>0</v>
      </c>
      <c r="D18" s="97">
        <v>0</v>
      </c>
      <c r="E18" s="251">
        <v>0</v>
      </c>
      <c r="F18" s="112">
        <v>0</v>
      </c>
      <c r="G18" s="113"/>
    </row>
    <row r="19" spans="2:8" s="9" customFormat="1" ht="15.75" x14ac:dyDescent="0.25">
      <c r="B19" s="22" t="s">
        <v>6</v>
      </c>
      <c r="C19" s="250">
        <f>+C17-C18</f>
        <v>108</v>
      </c>
      <c r="D19" s="26">
        <v>100.09710800000001</v>
      </c>
      <c r="E19" s="250">
        <f t="shared" ref="E19" si="1">+E17-E18</f>
        <v>8468</v>
      </c>
      <c r="F19" s="143">
        <v>9313.8873669999994</v>
      </c>
      <c r="G19" s="215"/>
      <c r="H19" s="340"/>
    </row>
    <row r="20" spans="2:8" ht="15.75" x14ac:dyDescent="0.25">
      <c r="B20" s="23" t="s">
        <v>173</v>
      </c>
      <c r="C20" s="251">
        <v>4</v>
      </c>
      <c r="D20" s="97">
        <v>5.5042220000000004</v>
      </c>
      <c r="E20" s="251">
        <v>396</v>
      </c>
      <c r="F20" s="112">
        <v>454.78430100000003</v>
      </c>
      <c r="G20" s="113"/>
    </row>
    <row r="21" spans="2:8" ht="15.75" x14ac:dyDescent="0.25">
      <c r="B21" s="23" t="s">
        <v>353</v>
      </c>
      <c r="C21" s="251"/>
      <c r="D21" s="97"/>
      <c r="E21" s="251"/>
      <c r="F21" s="112"/>
      <c r="G21" s="113"/>
    </row>
    <row r="22" spans="2:8" ht="15.75" x14ac:dyDescent="0.25">
      <c r="B22" s="23" t="s">
        <v>174</v>
      </c>
      <c r="C22" s="251">
        <v>0</v>
      </c>
      <c r="D22" s="97">
        <v>0</v>
      </c>
      <c r="E22" s="251">
        <v>0</v>
      </c>
      <c r="F22" s="112">
        <v>0</v>
      </c>
      <c r="G22" s="113"/>
    </row>
    <row r="23" spans="2:8" ht="15.75" x14ac:dyDescent="0.25">
      <c r="B23" s="23" t="s">
        <v>175</v>
      </c>
      <c r="C23" s="251">
        <v>0</v>
      </c>
      <c r="D23" s="97">
        <v>0</v>
      </c>
      <c r="E23" s="251">
        <v>0</v>
      </c>
      <c r="F23" s="112">
        <v>0</v>
      </c>
      <c r="G23" s="113"/>
    </row>
    <row r="24" spans="2:8" ht="15.75" x14ac:dyDescent="0.25">
      <c r="B24" s="23" t="s">
        <v>176</v>
      </c>
      <c r="C24" s="251"/>
      <c r="D24" s="97"/>
      <c r="E24" s="251"/>
      <c r="F24" s="112"/>
      <c r="G24" s="113"/>
    </row>
    <row r="25" spans="2:8" ht="15.75" x14ac:dyDescent="0.25">
      <c r="B25" s="23" t="s">
        <v>177</v>
      </c>
      <c r="C25" s="251">
        <v>0</v>
      </c>
      <c r="D25" s="97">
        <v>0</v>
      </c>
      <c r="E25" s="251">
        <v>0</v>
      </c>
      <c r="F25" s="112">
        <v>0</v>
      </c>
      <c r="G25" s="113"/>
    </row>
    <row r="26" spans="2:8" ht="15.75" x14ac:dyDescent="0.25">
      <c r="B26" s="23" t="s">
        <v>178</v>
      </c>
      <c r="C26" s="251">
        <v>0</v>
      </c>
      <c r="D26" s="97">
        <v>0</v>
      </c>
      <c r="E26" s="251">
        <v>0</v>
      </c>
      <c r="F26" s="112">
        <v>0</v>
      </c>
      <c r="G26" s="113"/>
    </row>
    <row r="27" spans="2:8" ht="15.75" x14ac:dyDescent="0.25">
      <c r="B27" s="23" t="s">
        <v>179</v>
      </c>
      <c r="C27" s="251">
        <v>0</v>
      </c>
      <c r="D27" s="97">
        <v>0</v>
      </c>
      <c r="E27" s="251">
        <v>0</v>
      </c>
      <c r="F27" s="112">
        <v>0</v>
      </c>
      <c r="G27" s="113"/>
    </row>
    <row r="28" spans="2:8" ht="15.75" x14ac:dyDescent="0.25">
      <c r="B28" s="23" t="s">
        <v>180</v>
      </c>
      <c r="C28" s="251">
        <v>10</v>
      </c>
      <c r="D28" s="97">
        <v>17.065048000000001</v>
      </c>
      <c r="E28" s="251">
        <v>24733</v>
      </c>
      <c r="F28" s="112">
        <v>32294.537704999999</v>
      </c>
      <c r="G28" s="113"/>
    </row>
    <row r="29" spans="2:8" s="9" customFormat="1" ht="15.75" x14ac:dyDescent="0.25">
      <c r="B29" s="22" t="s">
        <v>7</v>
      </c>
      <c r="C29" s="250">
        <f>+C16+C19+C20+C22+C23+C25+C26+C27+C28</f>
        <v>1467</v>
      </c>
      <c r="D29" s="26">
        <v>1241.761786</v>
      </c>
      <c r="E29" s="250">
        <f t="shared" ref="E29" si="2">+E16+E19+E20+E22+E23+E25+E26+E27+E28</f>
        <v>86625</v>
      </c>
      <c r="F29" s="143">
        <v>94854.543066000013</v>
      </c>
      <c r="G29" s="215"/>
      <c r="H29" s="340"/>
    </row>
    <row r="30" spans="2:8" ht="15.75" x14ac:dyDescent="0.25">
      <c r="B30" s="23" t="s">
        <v>181</v>
      </c>
      <c r="C30" s="251">
        <v>101</v>
      </c>
      <c r="D30" s="97">
        <v>44.975076999999999</v>
      </c>
      <c r="E30" s="274">
        <v>118782</v>
      </c>
      <c r="F30" s="112">
        <v>109944.16248899999</v>
      </c>
      <c r="G30" s="113"/>
    </row>
    <row r="31" spans="2:8" s="9" customFormat="1" ht="15.75" x14ac:dyDescent="0.25">
      <c r="B31" s="22" t="s">
        <v>8</v>
      </c>
      <c r="C31" s="250">
        <f>+C29-C30</f>
        <v>1366</v>
      </c>
      <c r="D31" s="26">
        <v>1196.786709</v>
      </c>
      <c r="E31" s="337">
        <f t="shared" ref="E31" si="3">+E29-E30</f>
        <v>-32157</v>
      </c>
      <c r="F31" s="143">
        <v>-15089.619422999982</v>
      </c>
      <c r="G31" s="215"/>
      <c r="H31" s="340"/>
    </row>
    <row r="32" spans="2:8" ht="15.75" x14ac:dyDescent="0.25">
      <c r="B32" s="23" t="s">
        <v>9</v>
      </c>
      <c r="C32" s="251">
        <v>51</v>
      </c>
      <c r="D32" s="112">
        <v>45.755986999999998</v>
      </c>
      <c r="E32" s="274">
        <v>32407</v>
      </c>
      <c r="F32" s="112">
        <v>26468.482298999999</v>
      </c>
      <c r="G32" s="113"/>
    </row>
    <row r="33" spans="2:10" ht="15.75" x14ac:dyDescent="0.25">
      <c r="B33" s="23" t="s">
        <v>182</v>
      </c>
      <c r="C33" s="251">
        <v>4</v>
      </c>
      <c r="D33" s="112">
        <v>4.4694979999999997</v>
      </c>
      <c r="E33" s="274">
        <v>11858</v>
      </c>
      <c r="F33" s="112">
        <v>11499.333041</v>
      </c>
      <c r="G33" s="113"/>
    </row>
    <row r="34" spans="2:10" ht="15.75" x14ac:dyDescent="0.25">
      <c r="B34" s="23" t="s">
        <v>10</v>
      </c>
      <c r="C34" s="251">
        <v>58</v>
      </c>
      <c r="D34" s="112">
        <v>62.530289000000003</v>
      </c>
      <c r="E34" s="274">
        <v>7023</v>
      </c>
      <c r="F34" s="112">
        <v>6548.0009929999997</v>
      </c>
      <c r="G34" s="113"/>
    </row>
    <row r="35" spans="2:10" s="9" customFormat="1" ht="15.75" x14ac:dyDescent="0.25">
      <c r="B35" s="22" t="s">
        <v>184</v>
      </c>
      <c r="C35" s="250">
        <f>+C31-C32-C33-C34</f>
        <v>1253</v>
      </c>
      <c r="D35" s="26">
        <v>1084.030935</v>
      </c>
      <c r="E35" s="250">
        <f>+E31-E32-E33-E34</f>
        <v>-83445</v>
      </c>
      <c r="F35" s="143">
        <v>-59605.435755999977</v>
      </c>
      <c r="G35" s="215"/>
      <c r="H35" s="340"/>
      <c r="I35" s="217"/>
      <c r="J35" s="216"/>
    </row>
    <row r="36" spans="2:10" ht="15.75" x14ac:dyDescent="0.25">
      <c r="B36" s="23" t="s">
        <v>11</v>
      </c>
      <c r="C36" s="251">
        <v>239</v>
      </c>
      <c r="D36" s="112">
        <v>178.29871</v>
      </c>
      <c r="E36" s="251">
        <v>0</v>
      </c>
      <c r="F36" s="112">
        <v>0</v>
      </c>
      <c r="G36" s="113"/>
      <c r="H36" s="235"/>
      <c r="I36" s="113"/>
    </row>
    <row r="37" spans="2:10" ht="15.75" x14ac:dyDescent="0.25">
      <c r="B37" s="23" t="s">
        <v>183</v>
      </c>
      <c r="C37" s="251">
        <v>15</v>
      </c>
      <c r="D37" s="112">
        <v>18.59477</v>
      </c>
      <c r="E37" s="251">
        <v>0</v>
      </c>
      <c r="F37" s="112">
        <v>0</v>
      </c>
      <c r="G37" s="113"/>
      <c r="H37" s="235"/>
      <c r="I37" s="113"/>
    </row>
    <row r="38" spans="2:10" s="9" customFormat="1" ht="15.75" x14ac:dyDescent="0.25">
      <c r="B38" s="22" t="s">
        <v>185</v>
      </c>
      <c r="C38" s="250">
        <f>+C35-C36-C37</f>
        <v>999</v>
      </c>
      <c r="D38" s="26">
        <v>887.13745499999993</v>
      </c>
      <c r="E38" s="250">
        <f t="shared" ref="E38" si="4">+E35-E36-E37</f>
        <v>-83445</v>
      </c>
      <c r="F38" s="143">
        <v>-59605.435755999977</v>
      </c>
      <c r="G38" s="215"/>
      <c r="H38" s="340"/>
      <c r="I38" s="215"/>
    </row>
    <row r="39" spans="2:10" ht="15.75" x14ac:dyDescent="0.25">
      <c r="B39" s="23" t="s">
        <v>194</v>
      </c>
      <c r="C39" s="251">
        <v>0</v>
      </c>
      <c r="D39" s="97">
        <v>0</v>
      </c>
      <c r="E39" s="272">
        <v>0</v>
      </c>
      <c r="F39" s="213">
        <v>0</v>
      </c>
      <c r="G39" s="113"/>
    </row>
    <row r="40" spans="2:10" s="9" customFormat="1" ht="15.75" x14ac:dyDescent="0.25">
      <c r="B40" s="22" t="s">
        <v>12</v>
      </c>
      <c r="C40" s="250">
        <f>+C38+C39</f>
        <v>999</v>
      </c>
      <c r="D40" s="26">
        <v>887.13745499999993</v>
      </c>
      <c r="E40" s="250">
        <f t="shared" ref="E40" si="5">+E38+E39</f>
        <v>-83445</v>
      </c>
      <c r="F40" s="143">
        <v>-59605.435755999977</v>
      </c>
      <c r="G40" s="215"/>
      <c r="H40" s="340"/>
    </row>
    <row r="41" spans="2:10" ht="15.75" x14ac:dyDescent="0.25">
      <c r="B41" s="23" t="s">
        <v>186</v>
      </c>
      <c r="C41" s="251">
        <v>245</v>
      </c>
      <c r="D41" s="97">
        <v>272.85127299999999</v>
      </c>
      <c r="E41" s="251">
        <v>1829</v>
      </c>
      <c r="F41" s="112">
        <v>-22226.625079000001</v>
      </c>
      <c r="G41" s="113"/>
    </row>
    <row r="42" spans="2:10" s="9" customFormat="1" ht="15.75" x14ac:dyDescent="0.25">
      <c r="B42" s="22" t="s">
        <v>13</v>
      </c>
      <c r="C42" s="250">
        <f>+C40-C41</f>
        <v>754</v>
      </c>
      <c r="D42" s="26">
        <v>614.28618199999994</v>
      </c>
      <c r="E42" s="250">
        <f t="shared" ref="E42" si="6">+E40-E41</f>
        <v>-85274</v>
      </c>
      <c r="F42" s="143">
        <v>-37378.810676999972</v>
      </c>
      <c r="G42" s="215"/>
      <c r="H42" s="340"/>
    </row>
    <row r="43" spans="2:10" s="9" customFormat="1" ht="15.75" x14ac:dyDescent="0.25">
      <c r="B43" s="22" t="s">
        <v>14</v>
      </c>
      <c r="C43" s="250"/>
      <c r="D43" s="108"/>
      <c r="E43" s="250"/>
      <c r="F43" s="122"/>
      <c r="G43" s="215"/>
      <c r="H43" s="158"/>
    </row>
    <row r="44" spans="2:10" ht="15.75" x14ac:dyDescent="0.25">
      <c r="B44" s="23" t="s">
        <v>117</v>
      </c>
      <c r="C44" s="251">
        <f t="shared" ref="C44:E44" si="7">+C42</f>
        <v>754</v>
      </c>
      <c r="D44" s="25">
        <v>614.28618199999994</v>
      </c>
      <c r="E44" s="251">
        <f t="shared" si="7"/>
        <v>-85274</v>
      </c>
      <c r="F44" s="94">
        <v>-37378.810676999972</v>
      </c>
      <c r="G44" s="113"/>
    </row>
    <row r="45" spans="2:10" ht="15.75" x14ac:dyDescent="0.25">
      <c r="B45" s="23" t="s">
        <v>187</v>
      </c>
      <c r="C45" s="251"/>
      <c r="D45" s="97"/>
      <c r="E45" s="251"/>
      <c r="F45" s="112"/>
      <c r="G45" s="113"/>
    </row>
    <row r="46" spans="2:10" s="9" customFormat="1" ht="15.75" x14ac:dyDescent="0.25">
      <c r="B46" s="22" t="s">
        <v>116</v>
      </c>
      <c r="C46" s="250"/>
      <c r="D46" s="108"/>
      <c r="E46" s="250"/>
      <c r="F46" s="122"/>
      <c r="G46" s="215"/>
      <c r="H46" s="158"/>
    </row>
    <row r="47" spans="2:10" ht="15.75" x14ac:dyDescent="0.25">
      <c r="B47" s="23" t="s">
        <v>15</v>
      </c>
      <c r="C47" s="251"/>
      <c r="D47" s="97"/>
      <c r="E47" s="278"/>
      <c r="F47" s="214"/>
      <c r="G47" s="113"/>
    </row>
    <row r="48" spans="2:10" ht="15.75" x14ac:dyDescent="0.25">
      <c r="B48" s="23" t="s">
        <v>119</v>
      </c>
      <c r="C48" s="251"/>
      <c r="D48" s="97"/>
      <c r="E48" s="278"/>
      <c r="F48" s="214"/>
      <c r="G48" s="113"/>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7" zoomScale="77" zoomScaleNormal="77" workbookViewId="0">
      <selection activeCell="J23" sqref="J23"/>
    </sheetView>
  </sheetViews>
  <sheetFormatPr defaultRowHeight="15" x14ac:dyDescent="0.25"/>
  <cols>
    <col min="1" max="1" width="59.28515625" style="1" customWidth="1"/>
    <col min="2" max="2" width="12" style="253" customWidth="1"/>
    <col min="3" max="3" width="12" style="8" customWidth="1"/>
    <col min="4" max="4" width="12.7109375" style="253" bestFit="1" customWidth="1"/>
    <col min="5" max="5" width="12.7109375" style="150" bestFit="1" customWidth="1"/>
    <col min="6" max="16384" width="9.140625" style="1"/>
  </cols>
  <sheetData>
    <row r="1" spans="1:5" ht="15.75" x14ac:dyDescent="0.25">
      <c r="A1" s="343" t="s">
        <v>21</v>
      </c>
      <c r="B1" s="344"/>
      <c r="C1" s="344"/>
      <c r="D1" s="344"/>
      <c r="E1" s="345"/>
    </row>
    <row r="2" spans="1:5" ht="15.75" x14ac:dyDescent="0.25">
      <c r="A2" s="346" t="s">
        <v>22</v>
      </c>
      <c r="B2" s="347"/>
      <c r="C2" s="347"/>
      <c r="D2" s="347"/>
      <c r="E2" s="348"/>
    </row>
    <row r="3" spans="1:5" ht="15.75" x14ac:dyDescent="0.25">
      <c r="A3" s="352" t="s">
        <v>354</v>
      </c>
      <c r="B3" s="353"/>
      <c r="C3" s="353"/>
      <c r="D3" s="353"/>
      <c r="E3" s="354"/>
    </row>
    <row r="4" spans="1:5" ht="15.75" x14ac:dyDescent="0.25">
      <c r="A4" s="46"/>
      <c r="B4" s="245"/>
      <c r="C4" s="44"/>
      <c r="D4" s="245"/>
      <c r="E4" s="221"/>
    </row>
    <row r="5" spans="1:5" ht="15.75" x14ac:dyDescent="0.25">
      <c r="A5" s="41"/>
      <c r="B5" s="355" t="s">
        <v>16</v>
      </c>
      <c r="C5" s="356"/>
      <c r="D5" s="357" t="s">
        <v>25</v>
      </c>
      <c r="E5" s="358"/>
    </row>
    <row r="6" spans="1:5" ht="31.5" x14ac:dyDescent="0.25">
      <c r="A6" s="42" t="s">
        <v>188</v>
      </c>
      <c r="B6" s="246" t="s">
        <v>118</v>
      </c>
      <c r="C6" s="123" t="s">
        <v>160</v>
      </c>
      <c r="D6" s="246" t="s">
        <v>118</v>
      </c>
      <c r="E6" s="206" t="s">
        <v>160</v>
      </c>
    </row>
    <row r="7" spans="1:5" ht="15.75" x14ac:dyDescent="0.25">
      <c r="A7" s="42"/>
      <c r="B7" s="247" t="s">
        <v>18</v>
      </c>
      <c r="C7" s="124" t="s">
        <v>18</v>
      </c>
      <c r="D7" s="247" t="s">
        <v>18</v>
      </c>
      <c r="E7" s="210" t="s">
        <v>18</v>
      </c>
    </row>
    <row r="8" spans="1:5" ht="15.75" x14ac:dyDescent="0.25">
      <c r="A8" s="40"/>
      <c r="B8" s="247" t="s">
        <v>355</v>
      </c>
      <c r="C8" s="124" t="s">
        <v>170</v>
      </c>
      <c r="D8" s="247" t="s">
        <v>355</v>
      </c>
      <c r="E8" s="124" t="s">
        <v>170</v>
      </c>
    </row>
    <row r="9" spans="1:5" ht="15.75" x14ac:dyDescent="0.25">
      <c r="A9" s="40"/>
      <c r="B9" s="247" t="s">
        <v>19</v>
      </c>
      <c r="C9" s="124" t="s">
        <v>19</v>
      </c>
      <c r="D9" s="247" t="s">
        <v>19</v>
      </c>
      <c r="E9" s="124" t="s">
        <v>19</v>
      </c>
    </row>
    <row r="10" spans="1:5" ht="15.75" x14ac:dyDescent="0.25">
      <c r="A10" s="40"/>
      <c r="B10" s="248" t="s">
        <v>356</v>
      </c>
      <c r="C10" s="59" t="s">
        <v>316</v>
      </c>
      <c r="D10" s="248" t="s">
        <v>356</v>
      </c>
      <c r="E10" s="59" t="s">
        <v>316</v>
      </c>
    </row>
    <row r="11" spans="1:5" ht="15.75" x14ac:dyDescent="0.25">
      <c r="A11" s="43"/>
      <c r="B11" s="249" t="s">
        <v>99</v>
      </c>
      <c r="C11" s="125" t="s">
        <v>99</v>
      </c>
      <c r="D11" s="279" t="s">
        <v>100</v>
      </c>
      <c r="E11" s="211" t="s">
        <v>100</v>
      </c>
    </row>
    <row r="12" spans="1:5" s="9" customFormat="1" ht="15.75" x14ac:dyDescent="0.25">
      <c r="A12" s="22" t="s">
        <v>23</v>
      </c>
      <c r="B12" s="250">
        <f>+'INCOME-I'!C42</f>
        <v>754</v>
      </c>
      <c r="C12" s="26">
        <v>614.28618199999994</v>
      </c>
      <c r="D12" s="250">
        <f>+'INCOME-I'!E42</f>
        <v>-85274</v>
      </c>
      <c r="E12" s="143">
        <v>-37378.810676999972</v>
      </c>
    </row>
    <row r="13" spans="1:5" ht="15.75" x14ac:dyDescent="0.25">
      <c r="A13" s="23"/>
      <c r="B13" s="251"/>
      <c r="C13" s="25"/>
      <c r="D13" s="251"/>
      <c r="E13" s="94"/>
    </row>
    <row r="14" spans="1:5" s="9" customFormat="1" ht="15.75" x14ac:dyDescent="0.25">
      <c r="A14" s="22" t="s">
        <v>189</v>
      </c>
      <c r="B14" s="250"/>
      <c r="C14" s="26"/>
      <c r="D14" s="250"/>
      <c r="E14" s="143"/>
    </row>
    <row r="15" spans="1:5" s="9" customFormat="1" ht="15.75" x14ac:dyDescent="0.25">
      <c r="A15" s="23" t="s">
        <v>190</v>
      </c>
      <c r="B15" s="251">
        <v>0</v>
      </c>
      <c r="C15" s="25">
        <v>0</v>
      </c>
      <c r="D15" s="251">
        <v>0</v>
      </c>
      <c r="E15" s="94">
        <v>0</v>
      </c>
    </row>
    <row r="16" spans="1:5" s="9" customFormat="1" ht="15.75" x14ac:dyDescent="0.25">
      <c r="A16" s="23" t="s">
        <v>191</v>
      </c>
      <c r="B16" s="251">
        <v>0</v>
      </c>
      <c r="C16" s="25">
        <v>0</v>
      </c>
      <c r="D16" s="251">
        <v>0</v>
      </c>
      <c r="E16" s="94">
        <v>0</v>
      </c>
    </row>
    <row r="17" spans="1:8" s="9" customFormat="1" ht="15.75" x14ac:dyDescent="0.25">
      <c r="A17" s="6" t="s">
        <v>192</v>
      </c>
      <c r="B17" s="359">
        <v>0</v>
      </c>
      <c r="C17" s="361">
        <v>0</v>
      </c>
      <c r="D17" s="359">
        <v>0</v>
      </c>
      <c r="E17" s="363">
        <v>0</v>
      </c>
    </row>
    <row r="18" spans="1:8" s="9" customFormat="1" ht="15.75" x14ac:dyDescent="0.25">
      <c r="A18" s="159" t="s">
        <v>193</v>
      </c>
      <c r="B18" s="360"/>
      <c r="C18" s="362"/>
      <c r="D18" s="360"/>
      <c r="E18" s="364"/>
      <c r="H18" s="158"/>
    </row>
    <row r="19" spans="1:8" ht="15.75" x14ac:dyDescent="0.25">
      <c r="A19" s="23" t="s">
        <v>194</v>
      </c>
      <c r="B19" s="251">
        <v>0</v>
      </c>
      <c r="C19" s="25">
        <v>0</v>
      </c>
      <c r="D19" s="251">
        <v>0</v>
      </c>
      <c r="E19" s="94">
        <v>0</v>
      </c>
    </row>
    <row r="20" spans="1:8" ht="15.75" x14ac:dyDescent="0.25">
      <c r="A20" s="23" t="s">
        <v>195</v>
      </c>
      <c r="B20" s="251">
        <v>0</v>
      </c>
      <c r="C20" s="25">
        <v>0</v>
      </c>
      <c r="D20" s="251">
        <v>0</v>
      </c>
      <c r="E20" s="94">
        <v>0</v>
      </c>
    </row>
    <row r="21" spans="1:8" ht="15.75" x14ac:dyDescent="0.25">
      <c r="A21" s="23" t="s">
        <v>196</v>
      </c>
      <c r="B21" s="251">
        <v>0</v>
      </c>
      <c r="C21" s="25">
        <v>0</v>
      </c>
      <c r="D21" s="251">
        <v>0</v>
      </c>
      <c r="E21" s="94">
        <v>0</v>
      </c>
    </row>
    <row r="22" spans="1:8" ht="15.75" x14ac:dyDescent="0.25">
      <c r="A22" s="6" t="s">
        <v>197</v>
      </c>
      <c r="B22" s="359">
        <v>0</v>
      </c>
      <c r="C22" s="361">
        <v>0</v>
      </c>
      <c r="D22" s="359">
        <v>0</v>
      </c>
      <c r="E22" s="363">
        <v>0</v>
      </c>
    </row>
    <row r="23" spans="1:8" ht="15.75" x14ac:dyDescent="0.25">
      <c r="A23" s="159" t="s">
        <v>198</v>
      </c>
      <c r="B23" s="360"/>
      <c r="C23" s="362"/>
      <c r="D23" s="360"/>
      <c r="E23" s="364"/>
      <c r="H23" s="57"/>
    </row>
    <row r="24" spans="1:8" ht="15.75" x14ac:dyDescent="0.25">
      <c r="A24" s="159"/>
      <c r="B24" s="252"/>
      <c r="C24" s="160"/>
      <c r="D24" s="252"/>
      <c r="E24" s="162"/>
      <c r="H24" s="57"/>
    </row>
    <row r="25" spans="1:8" ht="15.75" x14ac:dyDescent="0.25">
      <c r="A25" s="22" t="s">
        <v>199</v>
      </c>
      <c r="B25" s="252"/>
      <c r="C25" s="160"/>
      <c r="D25" s="252"/>
      <c r="E25" s="162"/>
      <c r="H25" s="57"/>
    </row>
    <row r="26" spans="1:8" ht="15.75" x14ac:dyDescent="0.25">
      <c r="A26" s="163" t="s">
        <v>200</v>
      </c>
      <c r="B26" s="359">
        <v>0</v>
      </c>
      <c r="C26" s="361">
        <v>0</v>
      </c>
      <c r="D26" s="359">
        <v>0</v>
      </c>
      <c r="E26" s="363">
        <v>0</v>
      </c>
      <c r="H26" s="57"/>
    </row>
    <row r="27" spans="1:8" ht="15.75" x14ac:dyDescent="0.25">
      <c r="A27" s="159" t="s">
        <v>201</v>
      </c>
      <c r="B27" s="360"/>
      <c r="C27" s="362"/>
      <c r="D27" s="360"/>
      <c r="E27" s="364"/>
      <c r="G27" s="57"/>
      <c r="H27" s="57"/>
    </row>
    <row r="28" spans="1:8" ht="15.75" x14ac:dyDescent="0.25">
      <c r="A28" s="163" t="s">
        <v>202</v>
      </c>
      <c r="B28" s="359">
        <v>0</v>
      </c>
      <c r="C28" s="361">
        <v>0</v>
      </c>
      <c r="D28" s="359">
        <v>0</v>
      </c>
      <c r="E28" s="363">
        <v>0</v>
      </c>
      <c r="H28" s="57"/>
    </row>
    <row r="29" spans="1:8" ht="15.75" x14ac:dyDescent="0.25">
      <c r="A29" s="163" t="s">
        <v>203</v>
      </c>
      <c r="B29" s="365"/>
      <c r="C29" s="366"/>
      <c r="D29" s="365"/>
      <c r="E29" s="367"/>
      <c r="H29" s="57"/>
    </row>
    <row r="30" spans="1:8" ht="15.75" x14ac:dyDescent="0.25">
      <c r="A30" s="159" t="s">
        <v>30</v>
      </c>
      <c r="B30" s="360"/>
      <c r="C30" s="362"/>
      <c r="D30" s="360"/>
      <c r="E30" s="364"/>
      <c r="H30" s="57"/>
    </row>
    <row r="31" spans="1:8" ht="15.75" x14ac:dyDescent="0.25">
      <c r="A31" s="159" t="s">
        <v>204</v>
      </c>
      <c r="B31" s="252">
        <v>0</v>
      </c>
      <c r="C31" s="160">
        <v>0</v>
      </c>
      <c r="D31" s="252">
        <v>0</v>
      </c>
      <c r="E31" s="162">
        <v>0</v>
      </c>
      <c r="H31" s="57"/>
    </row>
    <row r="32" spans="1:8" ht="15.75" x14ac:dyDescent="0.25">
      <c r="A32" s="159" t="s">
        <v>24</v>
      </c>
      <c r="B32" s="252">
        <f>0/1000000</f>
        <v>0</v>
      </c>
      <c r="C32" s="160">
        <v>79.969080000000005</v>
      </c>
      <c r="D32" s="252">
        <v>0</v>
      </c>
      <c r="E32" s="162">
        <v>0</v>
      </c>
      <c r="H32" s="57"/>
    </row>
    <row r="33" spans="1:8" ht="15.75" x14ac:dyDescent="0.25">
      <c r="A33" s="159" t="s">
        <v>194</v>
      </c>
      <c r="B33" s="252">
        <v>0</v>
      </c>
      <c r="C33" s="160">
        <v>0</v>
      </c>
      <c r="D33" s="252">
        <v>0</v>
      </c>
      <c r="E33" s="162">
        <v>0</v>
      </c>
      <c r="H33" s="57"/>
    </row>
    <row r="34" spans="1:8" ht="15.75" x14ac:dyDescent="0.25">
      <c r="A34" s="159" t="s">
        <v>317</v>
      </c>
      <c r="B34" s="252">
        <f>175011213.4/1000000</f>
        <v>175.0112134</v>
      </c>
      <c r="C34" s="160">
        <v>228.62227300000001</v>
      </c>
      <c r="D34" s="252"/>
      <c r="E34" s="162"/>
      <c r="H34" s="57"/>
    </row>
    <row r="35" spans="1:8" ht="15.75" x14ac:dyDescent="0.25">
      <c r="A35" s="6" t="s">
        <v>206</v>
      </c>
      <c r="B35" s="359">
        <f>0/1000000</f>
        <v>0</v>
      </c>
      <c r="C35" s="361">
        <v>-22.391342000000002</v>
      </c>
      <c r="D35" s="359">
        <v>0</v>
      </c>
      <c r="E35" s="363">
        <v>0</v>
      </c>
      <c r="F35" s="164"/>
      <c r="H35" s="57"/>
    </row>
    <row r="36" spans="1:8" ht="15.75" x14ac:dyDescent="0.25">
      <c r="A36" s="159" t="s">
        <v>205</v>
      </c>
      <c r="B36" s="360"/>
      <c r="C36" s="362"/>
      <c r="D36" s="360"/>
      <c r="E36" s="364"/>
      <c r="H36" s="57"/>
    </row>
    <row r="37" spans="1:8" s="9" customFormat="1" ht="15.75" x14ac:dyDescent="0.25">
      <c r="A37" s="22" t="s">
        <v>207</v>
      </c>
      <c r="B37" s="250">
        <f>SUM(B19:B36)</f>
        <v>175.0112134</v>
      </c>
      <c r="C37" s="26">
        <v>286.20001100000002</v>
      </c>
      <c r="D37" s="250">
        <f>+D20</f>
        <v>0</v>
      </c>
      <c r="E37" s="143">
        <v>0</v>
      </c>
    </row>
    <row r="38" spans="1:8" s="9" customFormat="1" ht="15.75" x14ac:dyDescent="0.25">
      <c r="A38" s="22"/>
      <c r="B38" s="250"/>
      <c r="C38" s="26"/>
      <c r="D38" s="250"/>
      <c r="E38" s="143"/>
    </row>
    <row r="39" spans="1:8" ht="15.75" x14ac:dyDescent="0.25">
      <c r="A39" s="22" t="s">
        <v>208</v>
      </c>
      <c r="B39" s="250">
        <f>+B37+B12</f>
        <v>929.01121339999997</v>
      </c>
      <c r="C39" s="26">
        <v>900.48619299999996</v>
      </c>
      <c r="D39" s="250">
        <f>+D37+D12</f>
        <v>-85274</v>
      </c>
      <c r="E39" s="143">
        <v>-37378.810676999972</v>
      </c>
    </row>
    <row r="40" spans="1:8" ht="15.75" x14ac:dyDescent="0.25">
      <c r="A40" s="23" t="s">
        <v>209</v>
      </c>
      <c r="B40" s="251">
        <f t="shared" ref="B40" si="0">+B39</f>
        <v>929.01121339999997</v>
      </c>
      <c r="C40" s="25">
        <v>900.48619299999996</v>
      </c>
      <c r="D40" s="251">
        <f>+D39</f>
        <v>-85274</v>
      </c>
      <c r="E40" s="94">
        <v>-37378.810676999972</v>
      </c>
    </row>
    <row r="41" spans="1:8" ht="15.75" x14ac:dyDescent="0.25">
      <c r="A41" s="23" t="s">
        <v>187</v>
      </c>
      <c r="B41" s="251">
        <v>0</v>
      </c>
      <c r="C41" s="94">
        <v>0</v>
      </c>
      <c r="D41" s="251">
        <v>0</v>
      </c>
      <c r="E41" s="94">
        <v>0</v>
      </c>
    </row>
  </sheetData>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45" zoomScaleNormal="100" workbookViewId="0">
      <selection activeCell="H92" sqref="H92"/>
    </sheetView>
  </sheetViews>
  <sheetFormatPr defaultRowHeight="15" x14ac:dyDescent="0.25"/>
  <cols>
    <col min="1" max="1" width="48.85546875" style="1" customWidth="1"/>
    <col min="2" max="2" width="11.28515625" style="259" bestFit="1" customWidth="1"/>
    <col min="3" max="3" width="12.7109375" style="8" bestFit="1" customWidth="1"/>
    <col min="4" max="4" width="11.5703125" style="259" bestFit="1" customWidth="1"/>
    <col min="5" max="5" width="11.5703125" style="12" bestFit="1" customWidth="1"/>
    <col min="6" max="6" width="14.28515625" style="10" bestFit="1" customWidth="1"/>
    <col min="7" max="7" width="9.5703125" style="1" bestFit="1" customWidth="1"/>
    <col min="8" max="8" width="13.7109375" style="1" bestFit="1" customWidth="1"/>
    <col min="9" max="16384" width="9.140625" style="1"/>
  </cols>
  <sheetData>
    <row r="1" spans="1:5" ht="15.75" x14ac:dyDescent="0.25">
      <c r="A1" s="343" t="s">
        <v>21</v>
      </c>
      <c r="B1" s="344"/>
      <c r="C1" s="344"/>
      <c r="D1" s="344"/>
      <c r="E1" s="345"/>
    </row>
    <row r="2" spans="1:5" ht="15.75" x14ac:dyDescent="0.25">
      <c r="A2" s="346" t="s">
        <v>112</v>
      </c>
      <c r="B2" s="347"/>
      <c r="C2" s="347"/>
      <c r="D2" s="347"/>
      <c r="E2" s="348"/>
    </row>
    <row r="3" spans="1:5" ht="15.75" x14ac:dyDescent="0.25">
      <c r="A3" s="346" t="s">
        <v>357</v>
      </c>
      <c r="B3" s="347"/>
      <c r="C3" s="347"/>
      <c r="D3" s="347"/>
      <c r="E3" s="348"/>
    </row>
    <row r="4" spans="1:5" ht="15.75" x14ac:dyDescent="0.25">
      <c r="A4" s="349"/>
      <c r="B4" s="350"/>
      <c r="C4" s="350"/>
      <c r="D4" s="350"/>
      <c r="E4" s="351"/>
    </row>
    <row r="5" spans="1:5" ht="15.75" x14ac:dyDescent="0.25">
      <c r="A5" s="41"/>
      <c r="B5" s="368" t="s">
        <v>16</v>
      </c>
      <c r="C5" s="369"/>
      <c r="D5" s="370" t="s">
        <v>25</v>
      </c>
      <c r="E5" s="371"/>
    </row>
    <row r="6" spans="1:5" ht="15.75" x14ac:dyDescent="0.25">
      <c r="A6" s="42" t="s">
        <v>188</v>
      </c>
      <c r="B6" s="246" t="s">
        <v>318</v>
      </c>
      <c r="C6" s="84" t="s">
        <v>320</v>
      </c>
      <c r="D6" s="246" t="s">
        <v>321</v>
      </c>
      <c r="E6" s="206" t="s">
        <v>320</v>
      </c>
    </row>
    <row r="7" spans="1:5" ht="15.75" x14ac:dyDescent="0.25">
      <c r="A7" s="42"/>
      <c r="B7" s="254" t="s">
        <v>319</v>
      </c>
      <c r="C7" s="195" t="s">
        <v>319</v>
      </c>
      <c r="D7" s="254" t="s">
        <v>319</v>
      </c>
      <c r="E7" s="208" t="s">
        <v>319</v>
      </c>
    </row>
    <row r="8" spans="1:5" ht="15.75" x14ac:dyDescent="0.25">
      <c r="A8" s="42"/>
      <c r="B8" s="256" t="s">
        <v>98</v>
      </c>
      <c r="C8" s="85" t="s">
        <v>98</v>
      </c>
      <c r="D8" s="256" t="s">
        <v>98</v>
      </c>
      <c r="E8" s="219" t="s">
        <v>98</v>
      </c>
    </row>
    <row r="9" spans="1:5" ht="15.75" x14ac:dyDescent="0.25">
      <c r="A9" s="40"/>
      <c r="B9" s="256" t="s">
        <v>356</v>
      </c>
      <c r="C9" s="86" t="s">
        <v>316</v>
      </c>
      <c r="D9" s="256" t="str">
        <f>+B9</f>
        <v>31.03.2020</v>
      </c>
      <c r="E9" s="219" t="str">
        <f>+C9</f>
        <v>31.03.2019</v>
      </c>
    </row>
    <row r="10" spans="1:5" ht="15.75" x14ac:dyDescent="0.25">
      <c r="A10" s="43"/>
      <c r="B10" s="255" t="s">
        <v>99</v>
      </c>
      <c r="C10" s="197" t="s">
        <v>99</v>
      </c>
      <c r="D10" s="255" t="s">
        <v>100</v>
      </c>
      <c r="E10" s="212" t="s">
        <v>100</v>
      </c>
    </row>
    <row r="11" spans="1:5" ht="15.75" x14ac:dyDescent="0.25">
      <c r="A11" s="43"/>
      <c r="B11" s="255" t="s">
        <v>126</v>
      </c>
      <c r="C11" s="197" t="s">
        <v>126</v>
      </c>
      <c r="D11" s="255" t="s">
        <v>126</v>
      </c>
      <c r="E11" s="212" t="s">
        <v>126</v>
      </c>
    </row>
    <row r="12" spans="1:5" ht="15.75" x14ac:dyDescent="0.25">
      <c r="A12" s="22" t="s">
        <v>26</v>
      </c>
      <c r="B12" s="257"/>
      <c r="C12" s="24"/>
      <c r="D12" s="257"/>
      <c r="E12" s="220"/>
    </row>
    <row r="13" spans="1:5" ht="15.75" x14ac:dyDescent="0.25">
      <c r="A13" s="23" t="s">
        <v>120</v>
      </c>
      <c r="B13" s="251">
        <f>26054703988.3935/1000000</f>
        <v>26054.703988393503</v>
      </c>
      <c r="C13" s="94">
        <v>8175.0294880000001</v>
      </c>
      <c r="D13" s="251">
        <v>33518</v>
      </c>
      <c r="E13" s="94">
        <v>104464.341872</v>
      </c>
    </row>
    <row r="14" spans="1:5" ht="15.75" x14ac:dyDescent="0.25">
      <c r="A14" s="23" t="s">
        <v>27</v>
      </c>
      <c r="B14" s="251">
        <f>123196267.98/1000000</f>
        <v>123.19626798</v>
      </c>
      <c r="C14" s="25">
        <v>157.15050600000001</v>
      </c>
      <c r="D14" s="251">
        <v>1389</v>
      </c>
      <c r="E14" s="94">
        <v>151.54056499999999</v>
      </c>
    </row>
    <row r="15" spans="1:5" ht="15.75" x14ac:dyDescent="0.25">
      <c r="A15" s="23" t="s">
        <v>28</v>
      </c>
      <c r="B15" s="251">
        <v>0</v>
      </c>
      <c r="C15" s="94">
        <v>0</v>
      </c>
      <c r="D15" s="251">
        <v>207088</v>
      </c>
      <c r="E15" s="94">
        <v>204450.63604700001</v>
      </c>
    </row>
    <row r="16" spans="1:5" ht="15.75" x14ac:dyDescent="0.25">
      <c r="A16" s="23" t="s">
        <v>29</v>
      </c>
      <c r="B16" s="251">
        <v>0</v>
      </c>
      <c r="C16" s="94">
        <v>0</v>
      </c>
      <c r="D16" s="251">
        <v>0</v>
      </c>
      <c r="E16" s="94">
        <v>0</v>
      </c>
    </row>
    <row r="17" spans="1:9" ht="15.75" x14ac:dyDescent="0.25">
      <c r="A17" s="23" t="s">
        <v>210</v>
      </c>
      <c r="B17" s="251"/>
      <c r="C17" s="94"/>
      <c r="D17" s="251"/>
      <c r="E17" s="94"/>
    </row>
    <row r="18" spans="1:9" ht="15.75" x14ac:dyDescent="0.25">
      <c r="A18" s="23" t="s">
        <v>211</v>
      </c>
      <c r="B18" s="251">
        <v>0</v>
      </c>
      <c r="C18" s="94">
        <v>0</v>
      </c>
      <c r="D18" s="251">
        <v>0</v>
      </c>
      <c r="E18" s="94">
        <v>0</v>
      </c>
    </row>
    <row r="19" spans="1:9" ht="15.75" x14ac:dyDescent="0.25">
      <c r="A19" s="23" t="s">
        <v>212</v>
      </c>
      <c r="B19" s="251">
        <v>0</v>
      </c>
      <c r="C19" s="94">
        <v>0</v>
      </c>
      <c r="D19" s="251">
        <v>0</v>
      </c>
      <c r="E19" s="94">
        <v>0</v>
      </c>
    </row>
    <row r="20" spans="1:9" ht="15.75" x14ac:dyDescent="0.25">
      <c r="A20" s="23" t="s">
        <v>213</v>
      </c>
      <c r="B20" s="251"/>
      <c r="C20" s="94"/>
      <c r="D20" s="251"/>
      <c r="E20" s="94"/>
    </row>
    <row r="21" spans="1:9" ht="15.75" x14ac:dyDescent="0.25">
      <c r="A21" s="23" t="s">
        <v>214</v>
      </c>
      <c r="B21" s="251">
        <f>6818663659.12691/1000000</f>
        <v>6818.6636591269098</v>
      </c>
      <c r="C21" s="25">
        <v>7993.8681399999996</v>
      </c>
      <c r="D21" s="251">
        <v>1213334</v>
      </c>
      <c r="E21" s="94">
        <v>1325976.2955149999</v>
      </c>
    </row>
    <row r="22" spans="1:9" ht="15.75" x14ac:dyDescent="0.25">
      <c r="A22" s="23" t="s">
        <v>215</v>
      </c>
      <c r="B22" s="251">
        <f>13226790871.1592/1000000</f>
        <v>13226.790871159201</v>
      </c>
      <c r="C22" s="25">
        <v>15308.791896999999</v>
      </c>
      <c r="D22" s="251">
        <v>590974</v>
      </c>
      <c r="E22" s="94">
        <v>487190.95881400001</v>
      </c>
    </row>
    <row r="23" spans="1:9" ht="15.75" x14ac:dyDescent="0.25">
      <c r="A23" s="6" t="s">
        <v>216</v>
      </c>
      <c r="B23" s="359">
        <f>2040001/1000000</f>
        <v>2.0400010000000002</v>
      </c>
      <c r="C23" s="361">
        <v>2.0400010000000002</v>
      </c>
      <c r="D23" s="359">
        <v>201798</v>
      </c>
      <c r="E23" s="363">
        <v>181980.23451099999</v>
      </c>
    </row>
    <row r="24" spans="1:9" ht="15.75" x14ac:dyDescent="0.25">
      <c r="A24" s="159" t="s">
        <v>217</v>
      </c>
      <c r="B24" s="360"/>
      <c r="C24" s="362"/>
      <c r="D24" s="360"/>
      <c r="E24" s="364"/>
    </row>
    <row r="25" spans="1:9" ht="15.75" x14ac:dyDescent="0.25">
      <c r="A25" s="23" t="s">
        <v>31</v>
      </c>
      <c r="B25" s="251">
        <v>0</v>
      </c>
      <c r="C25" s="25">
        <v>0</v>
      </c>
      <c r="D25" s="251">
        <v>0</v>
      </c>
      <c r="E25" s="94">
        <v>0</v>
      </c>
    </row>
    <row r="26" spans="1:9" ht="15.75" x14ac:dyDescent="0.25">
      <c r="A26" s="23" t="s">
        <v>32</v>
      </c>
      <c r="B26" s="251">
        <v>0</v>
      </c>
      <c r="C26" s="25">
        <v>0</v>
      </c>
      <c r="D26" s="251">
        <v>0</v>
      </c>
      <c r="E26" s="94">
        <v>0</v>
      </c>
    </row>
    <row r="27" spans="1:9" ht="15.75" x14ac:dyDescent="0.25">
      <c r="A27" s="23" t="s">
        <v>121</v>
      </c>
      <c r="B27" s="251">
        <f>213386253.4/1000000</f>
        <v>213.38625340000002</v>
      </c>
      <c r="C27" s="25">
        <v>217.09507600000001</v>
      </c>
      <c r="D27" s="251">
        <v>31273</v>
      </c>
      <c r="E27" s="94">
        <v>33369.047169999998</v>
      </c>
    </row>
    <row r="28" spans="1:9" ht="15.75" x14ac:dyDescent="0.25">
      <c r="A28" s="23" t="s">
        <v>33</v>
      </c>
      <c r="B28" s="251">
        <v>0</v>
      </c>
      <c r="C28" s="25">
        <v>0</v>
      </c>
      <c r="D28" s="251">
        <v>0</v>
      </c>
      <c r="E28" s="94">
        <v>0</v>
      </c>
    </row>
    <row r="29" spans="1:9" ht="15.75" x14ac:dyDescent="0.25">
      <c r="A29" s="23" t="s">
        <v>322</v>
      </c>
      <c r="B29" s="251">
        <f>0.5/1000000</f>
        <v>4.9999999999999998E-7</v>
      </c>
      <c r="C29" s="25">
        <v>3.7069999999999998E-3</v>
      </c>
      <c r="D29" s="251">
        <v>0</v>
      </c>
      <c r="E29" s="94">
        <v>0</v>
      </c>
    </row>
    <row r="30" spans="1:9" ht="15.75" x14ac:dyDescent="0.25">
      <c r="A30" s="23" t="s">
        <v>172</v>
      </c>
      <c r="B30" s="251">
        <f>1247187.65214856/1000000</f>
        <v>1.2471876521485599</v>
      </c>
      <c r="C30" s="25">
        <v>0</v>
      </c>
      <c r="D30" s="251">
        <v>62867</v>
      </c>
      <c r="E30" s="94">
        <v>64557.049706999998</v>
      </c>
    </row>
    <row r="31" spans="1:9" ht="15.75" x14ac:dyDescent="0.25">
      <c r="A31" s="23" t="s">
        <v>34</v>
      </c>
      <c r="B31" s="251">
        <f>33538041.83/1000000</f>
        <v>33.538041829999997</v>
      </c>
      <c r="C31" s="25">
        <v>36.333758000000003</v>
      </c>
      <c r="D31" s="251">
        <v>265027</v>
      </c>
      <c r="E31" s="94">
        <v>97943.473186999996</v>
      </c>
    </row>
    <row r="32" spans="1:9" s="9" customFormat="1" ht="15.75" x14ac:dyDescent="0.25">
      <c r="A32" s="22" t="s">
        <v>35</v>
      </c>
      <c r="B32" s="250">
        <f>SUM(B13:B31)</f>
        <v>46473.56627104176</v>
      </c>
      <c r="C32" s="26">
        <v>31890.312573000003</v>
      </c>
      <c r="D32" s="250">
        <f>SUM(D13:D31)</f>
        <v>2607268</v>
      </c>
      <c r="E32" s="143">
        <v>2500083.5773880002</v>
      </c>
      <c r="F32" s="103"/>
      <c r="G32" s="90"/>
      <c r="H32" s="90"/>
      <c r="I32" s="90"/>
    </row>
    <row r="33" spans="1:5" ht="15.75" x14ac:dyDescent="0.25">
      <c r="A33" s="22" t="s">
        <v>36</v>
      </c>
      <c r="B33" s="251"/>
      <c r="C33" s="25"/>
      <c r="D33" s="251"/>
      <c r="E33" s="94"/>
    </row>
    <row r="34" spans="1:5" ht="15.75" x14ac:dyDescent="0.25">
      <c r="A34" s="23" t="s">
        <v>37</v>
      </c>
      <c r="B34" s="251">
        <f>30921614780.52/1000000</f>
        <v>30921.614780520002</v>
      </c>
      <c r="C34" s="25">
        <v>19357.350253000001</v>
      </c>
      <c r="D34" s="251">
        <v>4196</v>
      </c>
      <c r="E34" s="94">
        <v>173.56885399999999</v>
      </c>
    </row>
    <row r="35" spans="1:5" ht="15.75" x14ac:dyDescent="0.25">
      <c r="A35" s="23" t="s">
        <v>29</v>
      </c>
      <c r="B35" s="251">
        <v>0</v>
      </c>
      <c r="C35" s="25">
        <v>0</v>
      </c>
      <c r="D35" s="251">
        <v>0</v>
      </c>
      <c r="E35" s="94">
        <v>0</v>
      </c>
    </row>
    <row r="36" spans="1:5" ht="15.75" x14ac:dyDescent="0.25">
      <c r="A36" s="23" t="s">
        <v>223</v>
      </c>
      <c r="B36" s="251"/>
      <c r="C36" s="25"/>
      <c r="D36" s="251"/>
      <c r="E36" s="94"/>
    </row>
    <row r="37" spans="1:5" ht="15.75" x14ac:dyDescent="0.25">
      <c r="A37" s="23" t="s">
        <v>211</v>
      </c>
      <c r="B37" s="251">
        <v>0</v>
      </c>
      <c r="C37" s="25">
        <v>0</v>
      </c>
      <c r="D37" s="251">
        <v>0</v>
      </c>
      <c r="E37" s="94">
        <v>0</v>
      </c>
    </row>
    <row r="38" spans="1:5" ht="15.75" x14ac:dyDescent="0.25">
      <c r="A38" s="23" t="s">
        <v>212</v>
      </c>
      <c r="B38" s="251">
        <v>0</v>
      </c>
      <c r="C38" s="25">
        <v>0</v>
      </c>
      <c r="D38" s="251">
        <v>0</v>
      </c>
      <c r="E38" s="94">
        <v>0</v>
      </c>
    </row>
    <row r="39" spans="1:5" ht="15.75" x14ac:dyDescent="0.25">
      <c r="A39" s="23" t="s">
        <v>218</v>
      </c>
      <c r="B39" s="251"/>
      <c r="C39" s="25"/>
      <c r="D39" s="251"/>
      <c r="E39" s="94"/>
    </row>
    <row r="40" spans="1:5" ht="15.75" x14ac:dyDescent="0.25">
      <c r="A40" s="23" t="s">
        <v>219</v>
      </c>
      <c r="B40" s="251">
        <f>4932014122.44/1000000</f>
        <v>4932.0141224399995</v>
      </c>
      <c r="C40" s="25">
        <v>2785.4175919999998</v>
      </c>
      <c r="D40" s="251">
        <v>2228749</v>
      </c>
      <c r="E40" s="94">
        <v>2225172.288745</v>
      </c>
    </row>
    <row r="41" spans="1:5" ht="15.75" x14ac:dyDescent="0.25">
      <c r="A41" s="23" t="s">
        <v>220</v>
      </c>
      <c r="B41" s="251">
        <v>0</v>
      </c>
      <c r="C41" s="25">
        <v>0</v>
      </c>
      <c r="D41" s="251">
        <v>0</v>
      </c>
      <c r="E41" s="94">
        <v>0</v>
      </c>
    </row>
    <row r="42" spans="1:5" ht="15.75" x14ac:dyDescent="0.25">
      <c r="A42" s="23" t="s">
        <v>221</v>
      </c>
      <c r="B42" s="251">
        <v>0</v>
      </c>
      <c r="C42" s="25">
        <v>0</v>
      </c>
      <c r="D42" s="251">
        <v>0</v>
      </c>
      <c r="E42" s="94">
        <v>0</v>
      </c>
    </row>
    <row r="43" spans="1:5" ht="15.75" x14ac:dyDescent="0.25">
      <c r="A43" s="23" t="s">
        <v>38</v>
      </c>
      <c r="B43" s="251">
        <v>0</v>
      </c>
      <c r="C43" s="25">
        <v>0</v>
      </c>
      <c r="D43" s="251">
        <v>0</v>
      </c>
      <c r="E43" s="94">
        <v>0</v>
      </c>
    </row>
    <row r="44" spans="1:5" ht="15.75" x14ac:dyDescent="0.25">
      <c r="A44" s="23" t="s">
        <v>222</v>
      </c>
      <c r="B44" s="251">
        <f>8438897/1000000</f>
        <v>8.4388970000000008</v>
      </c>
      <c r="C44" s="25">
        <v>13.625579</v>
      </c>
      <c r="D44" s="251">
        <v>39</v>
      </c>
      <c r="E44" s="94">
        <v>36.322054999999999</v>
      </c>
    </row>
    <row r="45" spans="1:5" ht="15.75" x14ac:dyDescent="0.25">
      <c r="A45" s="23" t="s">
        <v>39</v>
      </c>
      <c r="B45" s="251">
        <f>35794380.5447759/1000000</f>
        <v>35.794380544775905</v>
      </c>
      <c r="C45" s="25">
        <v>94.388192000000004</v>
      </c>
      <c r="D45" s="251">
        <v>0</v>
      </c>
      <c r="E45" s="94">
        <v>0</v>
      </c>
    </row>
    <row r="46" spans="1:5" ht="15.75" x14ac:dyDescent="0.25">
      <c r="A46" s="23" t="s">
        <v>124</v>
      </c>
      <c r="B46" s="251">
        <f>0/1000000</f>
        <v>0</v>
      </c>
      <c r="C46" s="25">
        <v>21.458518000000002</v>
      </c>
      <c r="D46" s="251">
        <v>4</v>
      </c>
      <c r="E46" s="94">
        <v>8.4632389999999997</v>
      </c>
    </row>
    <row r="47" spans="1:5" ht="15.75" x14ac:dyDescent="0.25">
      <c r="A47" s="23" t="s">
        <v>40</v>
      </c>
      <c r="B47" s="258">
        <f>180788223.50984/1000000</f>
        <v>180.78822350984001</v>
      </c>
      <c r="C47" s="149">
        <v>152.52898200000001</v>
      </c>
      <c r="D47" s="251">
        <f>0/1000</f>
        <v>0</v>
      </c>
      <c r="E47" s="94">
        <v>0</v>
      </c>
    </row>
    <row r="48" spans="1:5" ht="15.75" x14ac:dyDescent="0.25">
      <c r="A48" s="23" t="s">
        <v>41</v>
      </c>
      <c r="B48" s="258">
        <v>0</v>
      </c>
      <c r="C48" s="149">
        <v>0</v>
      </c>
      <c r="D48" s="251">
        <v>212730</v>
      </c>
      <c r="E48" s="94">
        <v>111094.149292</v>
      </c>
    </row>
    <row r="49" spans="1:6" ht="15.75" x14ac:dyDescent="0.25">
      <c r="A49" s="23" t="s">
        <v>42</v>
      </c>
      <c r="B49" s="251">
        <v>0</v>
      </c>
      <c r="C49" s="25">
        <v>0</v>
      </c>
      <c r="D49" s="251">
        <v>0</v>
      </c>
      <c r="E49" s="94">
        <v>0</v>
      </c>
    </row>
    <row r="50" spans="1:6" s="9" customFormat="1" ht="15.75" x14ac:dyDescent="0.25">
      <c r="A50" s="22" t="s">
        <v>43</v>
      </c>
      <c r="B50" s="250">
        <f>SUM(B34:B49)</f>
        <v>36078.650404014617</v>
      </c>
      <c r="C50" s="26">
        <v>22424</v>
      </c>
      <c r="D50" s="250">
        <f>SUM(D34:D49)</f>
        <v>2445718</v>
      </c>
      <c r="E50" s="143">
        <v>2336484.7921850001</v>
      </c>
      <c r="F50" s="90"/>
    </row>
    <row r="51" spans="1:6" ht="15.75" x14ac:dyDescent="0.25">
      <c r="A51" s="22" t="s">
        <v>44</v>
      </c>
      <c r="B51" s="251"/>
      <c r="C51" s="25"/>
      <c r="D51" s="251"/>
      <c r="E51" s="94"/>
    </row>
    <row r="52" spans="1:6" ht="15.75" x14ac:dyDescent="0.25">
      <c r="A52" s="23" t="s">
        <v>45</v>
      </c>
      <c r="B52" s="274">
        <v>2289</v>
      </c>
      <c r="C52" s="25">
        <v>2288.4944999999998</v>
      </c>
      <c r="D52" s="251">
        <v>164370</v>
      </c>
      <c r="E52" s="94">
        <v>91416.482180000006</v>
      </c>
    </row>
    <row r="53" spans="1:6" ht="15.75" x14ac:dyDescent="0.25">
      <c r="A53" s="23" t="s">
        <v>46</v>
      </c>
      <c r="B53" s="274">
        <f>380188772.53/1000000</f>
        <v>380.18877252999999</v>
      </c>
      <c r="C53" s="25">
        <v>342.35396500000002</v>
      </c>
      <c r="D53" s="251">
        <v>29268</v>
      </c>
      <c r="E53" s="94">
        <v>29267.762321999999</v>
      </c>
    </row>
    <row r="54" spans="1:6" ht="15.75" x14ac:dyDescent="0.25">
      <c r="A54" s="23" t="s">
        <v>224</v>
      </c>
      <c r="B54" s="274">
        <f>509411584.35/1000000</f>
        <v>509.41158435</v>
      </c>
      <c r="C54" s="25">
        <v>335.40037100000001</v>
      </c>
      <c r="D54" s="251">
        <v>0</v>
      </c>
      <c r="E54" s="94">
        <v>0</v>
      </c>
    </row>
    <row r="55" spans="1:6" ht="15.75" x14ac:dyDescent="0.25">
      <c r="A55" s="23" t="s">
        <v>47</v>
      </c>
      <c r="B55" s="274">
        <f>6814819589.60708/1000000</f>
        <v>6814.8195896070802</v>
      </c>
      <c r="C55" s="25">
        <v>6099.2931989999997</v>
      </c>
      <c r="D55" s="251">
        <v>0</v>
      </c>
      <c r="E55" s="94">
        <v>0</v>
      </c>
    </row>
    <row r="56" spans="1:6" ht="15.75" x14ac:dyDescent="0.25">
      <c r="A56" s="23" t="s">
        <v>48</v>
      </c>
      <c r="B56" s="274">
        <f>(344423683.07+57577737.44)/1000000</f>
        <v>402.00142051</v>
      </c>
      <c r="C56" s="25">
        <v>402.00142</v>
      </c>
      <c r="D56" s="251">
        <v>-32088</v>
      </c>
      <c r="E56" s="94">
        <v>42914.540700999998</v>
      </c>
    </row>
    <row r="57" spans="1:6" s="130" customFormat="1" ht="15.75" x14ac:dyDescent="0.25">
      <c r="A57" s="22" t="s">
        <v>49</v>
      </c>
      <c r="B57" s="250">
        <f>SUM(B52:B56)</f>
        <v>10395.42136699708</v>
      </c>
      <c r="C57" s="26">
        <v>9466</v>
      </c>
      <c r="D57" s="250">
        <f t="shared" ref="D57" si="0">SUM(D52:D56)</f>
        <v>161550</v>
      </c>
      <c r="E57" s="143">
        <v>163598.78520300001</v>
      </c>
      <c r="F57" s="129"/>
    </row>
    <row r="58" spans="1:6" ht="15.75" x14ac:dyDescent="0.25">
      <c r="A58" s="23" t="s">
        <v>187</v>
      </c>
      <c r="B58" s="251">
        <v>0</v>
      </c>
      <c r="C58" s="25">
        <v>0</v>
      </c>
      <c r="D58" s="251">
        <v>0</v>
      </c>
      <c r="E58" s="94">
        <v>0</v>
      </c>
    </row>
    <row r="59" spans="1:6" s="9" customFormat="1" ht="15.75" x14ac:dyDescent="0.25">
      <c r="A59" s="22" t="s">
        <v>50</v>
      </c>
      <c r="B59" s="250">
        <f>+B58+B57</f>
        <v>10395.42136699708</v>
      </c>
      <c r="C59" s="26">
        <v>9466</v>
      </c>
      <c r="D59" s="250">
        <f>+D58+D57</f>
        <v>161550</v>
      </c>
      <c r="E59" s="143">
        <v>163598.78520300001</v>
      </c>
      <c r="F59" s="90"/>
    </row>
    <row r="60" spans="1:6" s="9" customFormat="1" ht="15.75" x14ac:dyDescent="0.25">
      <c r="A60" s="22" t="s">
        <v>51</v>
      </c>
      <c r="B60" s="250">
        <f>+B59+B50</f>
        <v>46474.071771011695</v>
      </c>
      <c r="C60" s="26">
        <v>31890</v>
      </c>
      <c r="D60" s="250">
        <f>+D59+D50</f>
        <v>2607268</v>
      </c>
      <c r="E60" s="143">
        <v>2500083.5773880002</v>
      </c>
      <c r="F60" s="90"/>
    </row>
    <row r="61" spans="1:6" ht="15.75" x14ac:dyDescent="0.25">
      <c r="A61" s="22" t="s">
        <v>52</v>
      </c>
      <c r="B61" s="251">
        <f>6281559757.33/1000000</f>
        <v>6281.5597573300001</v>
      </c>
      <c r="C61" s="94">
        <v>1815.098154</v>
      </c>
      <c r="D61" s="251">
        <v>754772</v>
      </c>
      <c r="E61" s="94">
        <v>566487.23681399995</v>
      </c>
    </row>
    <row r="62" spans="1:6" ht="15.75" x14ac:dyDescent="0.25">
      <c r="A62" s="22" t="s">
        <v>53</v>
      </c>
      <c r="B62" s="251"/>
      <c r="C62" s="94"/>
      <c r="D62" s="251"/>
      <c r="E62" s="94"/>
    </row>
    <row r="63" spans="1:6" ht="15.75" x14ac:dyDescent="0.25">
      <c r="A63" s="23" t="s">
        <v>54</v>
      </c>
      <c r="B63" s="251">
        <v>19</v>
      </c>
      <c r="C63" s="94">
        <v>19</v>
      </c>
      <c r="D63" s="251">
        <v>24880</v>
      </c>
      <c r="E63" s="94">
        <v>26354</v>
      </c>
      <c r="F63" s="113"/>
    </row>
    <row r="64" spans="1:6" ht="15.75" x14ac:dyDescent="0.25">
      <c r="A64" s="23" t="s">
        <v>55</v>
      </c>
      <c r="B64" s="251">
        <v>1</v>
      </c>
      <c r="C64" s="94">
        <v>1</v>
      </c>
      <c r="D64" s="251">
        <v>3331</v>
      </c>
      <c r="E64" s="94">
        <v>3345</v>
      </c>
      <c r="F64" s="113"/>
    </row>
    <row r="65" spans="1:5" x14ac:dyDescent="0.25">
      <c r="A65" s="165" t="s">
        <v>225</v>
      </c>
      <c r="B65" s="253"/>
      <c r="D65" s="253"/>
      <c r="E65" s="150"/>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topLeftCell="A43" zoomScaleNormal="100" workbookViewId="0">
      <selection activeCell="O53" sqref="O53"/>
    </sheetView>
  </sheetViews>
  <sheetFormatPr defaultRowHeight="15" x14ac:dyDescent="0.25"/>
  <cols>
    <col min="1" max="1" width="45.7109375" style="1" customWidth="1"/>
    <col min="2" max="2" width="9.7109375" style="1" bestFit="1" customWidth="1"/>
    <col min="3" max="3" width="11.85546875" style="1" bestFit="1" customWidth="1"/>
    <col min="4" max="4" width="9.5703125" style="1" bestFit="1" customWidth="1"/>
    <col min="5" max="5" width="13.85546875" style="1" bestFit="1" customWidth="1"/>
    <col min="6" max="6" width="8.140625" style="1" bestFit="1" customWidth="1"/>
    <col min="7" max="7" width="12.7109375" style="1" bestFit="1" customWidth="1"/>
    <col min="8" max="8" width="10.5703125" style="1" bestFit="1" customWidth="1"/>
    <col min="9" max="10" width="9.85546875" style="1" bestFit="1" customWidth="1"/>
    <col min="11" max="11" width="11.7109375" style="1" bestFit="1" customWidth="1"/>
    <col min="12" max="12" width="12.85546875" style="1" bestFit="1" customWidth="1"/>
    <col min="13" max="13" width="11.5703125" style="1" bestFit="1" customWidth="1"/>
    <col min="14" max="14" width="15.28515625" style="1" bestFit="1" customWidth="1"/>
    <col min="15" max="16384" width="9.140625" style="1"/>
  </cols>
  <sheetData>
    <row r="1" spans="1:19" ht="15.75" x14ac:dyDescent="0.25">
      <c r="A1" s="343" t="s">
        <v>21</v>
      </c>
      <c r="B1" s="344"/>
      <c r="C1" s="344"/>
      <c r="D1" s="344"/>
      <c r="E1" s="344"/>
      <c r="F1" s="344"/>
      <c r="G1" s="344"/>
      <c r="H1" s="344"/>
      <c r="I1" s="344"/>
      <c r="J1" s="344"/>
      <c r="K1" s="344"/>
      <c r="L1" s="345"/>
    </row>
    <row r="2" spans="1:19" ht="15.75" x14ac:dyDescent="0.25">
      <c r="A2" s="346" t="s">
        <v>56</v>
      </c>
      <c r="B2" s="347"/>
      <c r="C2" s="347"/>
      <c r="D2" s="347"/>
      <c r="E2" s="347"/>
      <c r="F2" s="347"/>
      <c r="G2" s="347"/>
      <c r="H2" s="347"/>
      <c r="I2" s="347"/>
      <c r="J2" s="347"/>
      <c r="K2" s="347"/>
      <c r="L2" s="348"/>
      <c r="M2" s="57"/>
      <c r="N2" s="57"/>
      <c r="O2" s="57"/>
      <c r="P2" s="57"/>
      <c r="Q2" s="57"/>
      <c r="R2" s="57"/>
      <c r="S2" s="57"/>
    </row>
    <row r="3" spans="1:19" ht="15.75" x14ac:dyDescent="0.25">
      <c r="A3" s="346" t="s">
        <v>354</v>
      </c>
      <c r="B3" s="347"/>
      <c r="C3" s="347"/>
      <c r="D3" s="347"/>
      <c r="E3" s="347"/>
      <c r="F3" s="347"/>
      <c r="G3" s="347"/>
      <c r="H3" s="347"/>
      <c r="I3" s="347"/>
      <c r="J3" s="347"/>
      <c r="K3" s="347"/>
      <c r="L3" s="348"/>
      <c r="M3" s="57"/>
      <c r="N3" s="57"/>
      <c r="O3" s="57"/>
      <c r="P3" s="57"/>
      <c r="Q3" s="57"/>
      <c r="R3" s="57"/>
      <c r="S3" s="57"/>
    </row>
    <row r="4" spans="1:19" ht="15.75" x14ac:dyDescent="0.25">
      <c r="A4" s="349"/>
      <c r="B4" s="350"/>
      <c r="C4" s="350"/>
      <c r="D4" s="350"/>
      <c r="E4" s="350"/>
      <c r="F4" s="350"/>
      <c r="G4" s="350"/>
      <c r="H4" s="350"/>
      <c r="I4" s="350"/>
      <c r="J4" s="350"/>
      <c r="K4" s="350"/>
      <c r="L4" s="351"/>
      <c r="M4" s="56"/>
      <c r="N4" s="56"/>
      <c r="O4" s="56"/>
      <c r="P4" s="56"/>
      <c r="Q4" s="56"/>
      <c r="R4" s="56"/>
      <c r="S4" s="56"/>
    </row>
    <row r="5" spans="1:19" ht="37.5" customHeight="1" x14ac:dyDescent="0.25">
      <c r="A5" s="147" t="s">
        <v>16</v>
      </c>
      <c r="B5" s="145"/>
      <c r="C5" s="145"/>
      <c r="D5" s="145"/>
      <c r="E5" s="145"/>
      <c r="F5" s="145"/>
      <c r="G5" s="145"/>
      <c r="H5" s="145"/>
      <c r="I5" s="145"/>
      <c r="J5" s="145"/>
      <c r="K5" s="145"/>
      <c r="L5" s="146"/>
    </row>
    <row r="6" spans="1:19" ht="15.75" x14ac:dyDescent="0.25">
      <c r="A6" s="50"/>
      <c r="B6" s="385" t="s">
        <v>338</v>
      </c>
      <c r="C6" s="386"/>
      <c r="D6" s="387"/>
      <c r="E6" s="385" t="s">
        <v>75</v>
      </c>
      <c r="F6" s="386"/>
      <c r="G6" s="386"/>
      <c r="H6" s="386"/>
      <c r="I6" s="387"/>
      <c r="J6" s="58"/>
      <c r="K6" s="61"/>
      <c r="L6" s="58"/>
    </row>
    <row r="7" spans="1:19" ht="31.5" x14ac:dyDescent="0.25">
      <c r="A7" s="51" t="s">
        <v>226</v>
      </c>
      <c r="B7" s="58" t="s">
        <v>69</v>
      </c>
      <c r="C7" s="58" t="s">
        <v>69</v>
      </c>
      <c r="D7" s="58" t="s">
        <v>73</v>
      </c>
      <c r="E7" s="390" t="s">
        <v>232</v>
      </c>
      <c r="F7" s="62" t="s">
        <v>233</v>
      </c>
      <c r="G7" s="59" t="s">
        <v>76</v>
      </c>
      <c r="H7" s="59" t="s">
        <v>78</v>
      </c>
      <c r="I7" s="59" t="s">
        <v>80</v>
      </c>
      <c r="J7" s="59" t="s">
        <v>82</v>
      </c>
      <c r="K7" s="62" t="s">
        <v>122</v>
      </c>
      <c r="L7" s="59" t="s">
        <v>50</v>
      </c>
    </row>
    <row r="8" spans="1:19" ht="15.75" x14ac:dyDescent="0.25">
      <c r="A8" s="52"/>
      <c r="B8" s="59" t="s">
        <v>70</v>
      </c>
      <c r="C8" s="59" t="s">
        <v>72</v>
      </c>
      <c r="D8" s="59" t="s">
        <v>74</v>
      </c>
      <c r="E8" s="390"/>
      <c r="F8" s="62" t="s">
        <v>77</v>
      </c>
      <c r="G8" s="59" t="s">
        <v>77</v>
      </c>
      <c r="H8" s="59" t="s">
        <v>79</v>
      </c>
      <c r="I8" s="59" t="s">
        <v>81</v>
      </c>
      <c r="J8" s="59"/>
      <c r="K8" s="59" t="s">
        <v>83</v>
      </c>
      <c r="L8" s="59"/>
    </row>
    <row r="9" spans="1:19" ht="15.75" x14ac:dyDescent="0.25">
      <c r="A9" s="29"/>
      <c r="B9" s="60" t="s">
        <v>71</v>
      </c>
      <c r="C9" s="60" t="s">
        <v>71</v>
      </c>
      <c r="D9" s="60"/>
      <c r="E9" s="391"/>
      <c r="F9" s="168"/>
      <c r="G9" s="60"/>
      <c r="H9" s="60"/>
      <c r="I9" s="60"/>
      <c r="J9" s="60"/>
      <c r="K9" s="60"/>
      <c r="L9" s="60"/>
    </row>
    <row r="10" spans="1:19" ht="15.75" x14ac:dyDescent="0.25">
      <c r="A10" s="22" t="s">
        <v>358</v>
      </c>
      <c r="B10" s="126">
        <v>0</v>
      </c>
      <c r="C10" s="126">
        <v>0</v>
      </c>
      <c r="D10" s="126">
        <v>2289</v>
      </c>
      <c r="E10" s="127">
        <v>341</v>
      </c>
      <c r="F10" s="127">
        <v>334</v>
      </c>
      <c r="G10" s="126">
        <v>58</v>
      </c>
      <c r="H10" s="126">
        <f>6099+1</f>
        <v>6100</v>
      </c>
      <c r="I10" s="126">
        <v>344</v>
      </c>
      <c r="J10" s="126">
        <f>SUM(B10:I10)</f>
        <v>9466</v>
      </c>
      <c r="K10" s="440">
        <v>0</v>
      </c>
      <c r="L10" s="126">
        <f>SUM(J10:K10)</f>
        <v>9466</v>
      </c>
    </row>
    <row r="11" spans="1:19" ht="15.75" x14ac:dyDescent="0.25">
      <c r="A11" s="47" t="s">
        <v>57</v>
      </c>
      <c r="B11" s="49"/>
      <c r="C11" s="49"/>
      <c r="D11" s="49"/>
      <c r="E11" s="54"/>
      <c r="F11" s="54"/>
      <c r="G11" s="49"/>
      <c r="H11" s="49"/>
      <c r="I11" s="49"/>
      <c r="J11" s="126"/>
      <c r="K11" s="49"/>
      <c r="L11" s="126"/>
    </row>
    <row r="12" spans="1:19" ht="15.75" x14ac:dyDescent="0.25">
      <c r="A12" s="48" t="s">
        <v>229</v>
      </c>
      <c r="B12" s="49">
        <v>0</v>
      </c>
      <c r="C12" s="49">
        <v>0</v>
      </c>
      <c r="D12" s="49">
        <v>0</v>
      </c>
      <c r="E12" s="54">
        <v>0</v>
      </c>
      <c r="F12" s="54">
        <v>0</v>
      </c>
      <c r="G12" s="49">
        <v>0</v>
      </c>
      <c r="H12" s="49">
        <v>754</v>
      </c>
      <c r="I12" s="49">
        <v>0</v>
      </c>
      <c r="J12" s="126">
        <f>SUM(B12:I12)</f>
        <v>754</v>
      </c>
      <c r="K12" s="49">
        <v>0</v>
      </c>
      <c r="L12" s="126">
        <f>SUM(J12:K12)</f>
        <v>754</v>
      </c>
    </row>
    <row r="13" spans="1:19" ht="15.75" x14ac:dyDescent="0.25">
      <c r="A13" s="48" t="s">
        <v>58</v>
      </c>
      <c r="B13" s="49">
        <v>0</v>
      </c>
      <c r="C13" s="49">
        <v>0</v>
      </c>
      <c r="D13" s="49">
        <v>0</v>
      </c>
      <c r="E13" s="54">
        <v>0</v>
      </c>
      <c r="F13" s="54">
        <v>175</v>
      </c>
      <c r="G13" s="49">
        <v>0</v>
      </c>
      <c r="H13" s="49">
        <v>0</v>
      </c>
      <c r="I13" s="49">
        <v>0</v>
      </c>
      <c r="J13" s="126">
        <f>SUM(B13:I13)</f>
        <v>175</v>
      </c>
      <c r="K13" s="49">
        <v>0</v>
      </c>
      <c r="L13" s="126">
        <f>SUM(J13:K13)</f>
        <v>175</v>
      </c>
    </row>
    <row r="14" spans="1:19" ht="15.75" x14ac:dyDescent="0.25">
      <c r="A14" s="22" t="s">
        <v>57</v>
      </c>
      <c r="B14" s="26">
        <f>+B10+B12+B13</f>
        <v>0</v>
      </c>
      <c r="C14" s="26">
        <f t="shared" ref="C14:H14" si="0">+C10+C12+C13</f>
        <v>0</v>
      </c>
      <c r="D14" s="26">
        <f t="shared" si="0"/>
        <v>2289</v>
      </c>
      <c r="E14" s="26">
        <f t="shared" si="0"/>
        <v>341</v>
      </c>
      <c r="F14" s="26">
        <f t="shared" si="0"/>
        <v>509</v>
      </c>
      <c r="G14" s="26">
        <f t="shared" si="0"/>
        <v>58</v>
      </c>
      <c r="H14" s="26">
        <f t="shared" si="0"/>
        <v>6854</v>
      </c>
      <c r="I14" s="26">
        <f>+I10+I12+I13</f>
        <v>344</v>
      </c>
      <c r="J14" s="126">
        <f>SUM(B14:I14)</f>
        <v>10395</v>
      </c>
      <c r="K14" s="26">
        <f>+K10+K12+K13</f>
        <v>0</v>
      </c>
      <c r="L14" s="126">
        <f>SUM(J14:K14)</f>
        <v>10395</v>
      </c>
    </row>
    <row r="15" spans="1:19" ht="15.75" x14ac:dyDescent="0.25">
      <c r="A15" s="5"/>
      <c r="B15" s="25"/>
      <c r="C15" s="25"/>
      <c r="D15" s="25"/>
      <c r="E15" s="25"/>
      <c r="F15" s="25"/>
      <c r="G15" s="25"/>
      <c r="H15" s="25"/>
      <c r="I15" s="25"/>
      <c r="J15" s="26"/>
      <c r="K15" s="25"/>
      <c r="L15" s="26"/>
    </row>
    <row r="16" spans="1:19" ht="15.75" x14ac:dyDescent="0.25">
      <c r="A16" s="166" t="s">
        <v>227</v>
      </c>
      <c r="B16" s="161"/>
      <c r="C16" s="161"/>
      <c r="D16" s="161"/>
      <c r="E16" s="167"/>
      <c r="F16" s="167"/>
      <c r="G16" s="161"/>
      <c r="H16" s="161"/>
      <c r="I16" s="161"/>
      <c r="J16" s="157"/>
      <c r="K16" s="161"/>
      <c r="L16" s="157"/>
    </row>
    <row r="17" spans="1:14" ht="15.75" x14ac:dyDescent="0.25">
      <c r="A17" s="155" t="s">
        <v>228</v>
      </c>
      <c r="B17" s="160"/>
      <c r="C17" s="160"/>
      <c r="D17" s="160"/>
      <c r="E17" s="160"/>
      <c r="F17" s="160"/>
      <c r="G17" s="160"/>
      <c r="H17" s="160"/>
      <c r="I17" s="160"/>
      <c r="J17" s="156"/>
      <c r="K17" s="160"/>
      <c r="L17" s="156"/>
    </row>
    <row r="18" spans="1:14" ht="15.75" x14ac:dyDescent="0.25">
      <c r="A18" s="23" t="s">
        <v>59</v>
      </c>
      <c r="B18" s="25">
        <v>0</v>
      </c>
      <c r="C18" s="25">
        <v>0</v>
      </c>
      <c r="D18" s="25">
        <v>0</v>
      </c>
      <c r="E18" s="55">
        <v>0</v>
      </c>
      <c r="F18" s="55">
        <v>0</v>
      </c>
      <c r="G18" s="25">
        <v>0</v>
      </c>
      <c r="H18" s="25">
        <v>0</v>
      </c>
      <c r="I18" s="25">
        <v>0</v>
      </c>
      <c r="J18" s="126">
        <f t="shared" ref="J18:J27" si="1">SUM(B18:I18)</f>
        <v>0</v>
      </c>
      <c r="K18" s="25">
        <v>0</v>
      </c>
      <c r="L18" s="126">
        <f t="shared" ref="L18:L24" si="2">SUM(J18:K18)</f>
        <v>0</v>
      </c>
    </row>
    <row r="19" spans="1:14" ht="15.75" x14ac:dyDescent="0.25">
      <c r="A19" s="23" t="s">
        <v>60</v>
      </c>
      <c r="B19" s="25">
        <v>0</v>
      </c>
      <c r="C19" s="25">
        <v>0</v>
      </c>
      <c r="D19" s="25">
        <v>0</v>
      </c>
      <c r="E19" s="55">
        <v>0</v>
      </c>
      <c r="F19" s="55">
        <v>0</v>
      </c>
      <c r="G19" s="25">
        <v>0</v>
      </c>
      <c r="H19" s="25">
        <v>0</v>
      </c>
      <c r="I19" s="25">
        <v>0</v>
      </c>
      <c r="J19" s="126">
        <f t="shared" si="1"/>
        <v>0</v>
      </c>
      <c r="K19" s="25">
        <v>0</v>
      </c>
      <c r="L19" s="126">
        <f t="shared" si="2"/>
        <v>0</v>
      </c>
    </row>
    <row r="20" spans="1:14" ht="15.75" x14ac:dyDescent="0.25">
      <c r="A20" s="23" t="s">
        <v>61</v>
      </c>
      <c r="B20" s="25">
        <v>0</v>
      </c>
      <c r="C20" s="25">
        <v>0</v>
      </c>
      <c r="D20" s="25">
        <v>0</v>
      </c>
      <c r="E20" s="55">
        <v>0</v>
      </c>
      <c r="F20" s="55">
        <v>0</v>
      </c>
      <c r="G20" s="25">
        <v>0</v>
      </c>
      <c r="H20" s="25">
        <v>0</v>
      </c>
      <c r="I20" s="25">
        <v>0</v>
      </c>
      <c r="J20" s="126">
        <f t="shared" si="1"/>
        <v>0</v>
      </c>
      <c r="K20" s="25">
        <v>0</v>
      </c>
      <c r="L20" s="126">
        <f t="shared" si="2"/>
        <v>0</v>
      </c>
    </row>
    <row r="21" spans="1:14" ht="15.75" x14ac:dyDescent="0.25">
      <c r="A21" s="23" t="s">
        <v>62</v>
      </c>
      <c r="B21" s="25">
        <v>0</v>
      </c>
      <c r="C21" s="25">
        <v>0</v>
      </c>
      <c r="D21" s="25">
        <v>0</v>
      </c>
      <c r="E21" s="55">
        <v>0</v>
      </c>
      <c r="F21" s="55">
        <v>0</v>
      </c>
      <c r="G21" s="25">
        <v>0</v>
      </c>
      <c r="H21" s="25">
        <v>0</v>
      </c>
      <c r="I21" s="25">
        <v>0</v>
      </c>
      <c r="J21" s="126">
        <f t="shared" si="1"/>
        <v>0</v>
      </c>
      <c r="K21" s="25">
        <v>0</v>
      </c>
      <c r="L21" s="126">
        <f t="shared" si="2"/>
        <v>0</v>
      </c>
    </row>
    <row r="22" spans="1:14" ht="15.75" x14ac:dyDescent="0.25">
      <c r="A22" s="23" t="s">
        <v>230</v>
      </c>
      <c r="B22" s="25">
        <v>0</v>
      </c>
      <c r="C22" s="25">
        <v>0</v>
      </c>
      <c r="D22" s="25">
        <v>0</v>
      </c>
      <c r="E22" s="55">
        <v>39</v>
      </c>
      <c r="F22" s="55">
        <v>0</v>
      </c>
      <c r="G22" s="25">
        <v>0</v>
      </c>
      <c r="H22" s="25">
        <v>-39</v>
      </c>
      <c r="I22" s="25">
        <v>0</v>
      </c>
      <c r="J22" s="126">
        <f t="shared" si="1"/>
        <v>0</v>
      </c>
      <c r="K22" s="25"/>
      <c r="L22" s="126">
        <f t="shared" si="2"/>
        <v>0</v>
      </c>
    </row>
    <row r="23" spans="1:14" ht="15.75" x14ac:dyDescent="0.25">
      <c r="A23" s="23" t="s">
        <v>63</v>
      </c>
      <c r="B23" s="25">
        <v>0</v>
      </c>
      <c r="C23" s="25">
        <v>0</v>
      </c>
      <c r="D23" s="25">
        <v>0</v>
      </c>
      <c r="E23" s="55">
        <v>0</v>
      </c>
      <c r="F23" s="55">
        <v>0</v>
      </c>
      <c r="G23" s="25">
        <v>0</v>
      </c>
      <c r="H23" s="25">
        <v>0</v>
      </c>
      <c r="I23" s="25">
        <v>0</v>
      </c>
      <c r="J23" s="126">
        <f t="shared" si="1"/>
        <v>0</v>
      </c>
      <c r="K23" s="25">
        <v>0</v>
      </c>
      <c r="L23" s="126">
        <f t="shared" si="2"/>
        <v>0</v>
      </c>
    </row>
    <row r="24" spans="1:14" ht="15.75" x14ac:dyDescent="0.25">
      <c r="A24" s="23" t="s">
        <v>64</v>
      </c>
      <c r="B24" s="25">
        <v>0</v>
      </c>
      <c r="C24" s="25">
        <v>0</v>
      </c>
      <c r="D24" s="25">
        <v>0</v>
      </c>
      <c r="E24" s="55">
        <v>0</v>
      </c>
      <c r="F24" s="55">
        <v>0</v>
      </c>
      <c r="G24" s="25">
        <v>0</v>
      </c>
      <c r="H24" s="25">
        <v>0</v>
      </c>
      <c r="I24" s="25">
        <v>0</v>
      </c>
      <c r="J24" s="126">
        <f t="shared" si="1"/>
        <v>0</v>
      </c>
      <c r="K24" s="25">
        <v>0</v>
      </c>
      <c r="L24" s="126">
        <f t="shared" si="2"/>
        <v>0</v>
      </c>
    </row>
    <row r="25" spans="1:14" ht="15.75" x14ac:dyDescent="0.25">
      <c r="A25" s="6" t="s">
        <v>65</v>
      </c>
      <c r="B25" s="374">
        <v>0</v>
      </c>
      <c r="C25" s="374">
        <v>0</v>
      </c>
      <c r="D25" s="374">
        <v>0</v>
      </c>
      <c r="E25" s="374">
        <v>0</v>
      </c>
      <c r="F25" s="374">
        <v>0</v>
      </c>
      <c r="G25" s="361">
        <f>0/1000000</f>
        <v>0</v>
      </c>
      <c r="H25" s="374">
        <v>0</v>
      </c>
      <c r="I25" s="374">
        <v>0</v>
      </c>
      <c r="J25" s="376">
        <f t="shared" si="1"/>
        <v>0</v>
      </c>
      <c r="K25" s="361">
        <v>0</v>
      </c>
      <c r="L25" s="376">
        <f t="shared" ref="L25" si="3">SUM(J25:K25)</f>
        <v>0</v>
      </c>
    </row>
    <row r="26" spans="1:14" ht="15.75" x14ac:dyDescent="0.25">
      <c r="A26" s="159" t="s">
        <v>66</v>
      </c>
      <c r="B26" s="375"/>
      <c r="C26" s="375"/>
      <c r="D26" s="375"/>
      <c r="E26" s="375"/>
      <c r="F26" s="375"/>
      <c r="G26" s="362"/>
      <c r="H26" s="375"/>
      <c r="I26" s="375"/>
      <c r="J26" s="377"/>
      <c r="K26" s="362"/>
      <c r="L26" s="377"/>
    </row>
    <row r="27" spans="1:14" ht="15.75" x14ac:dyDescent="0.25">
      <c r="A27" s="6" t="s">
        <v>67</v>
      </c>
      <c r="B27" s="25">
        <v>0</v>
      </c>
      <c r="C27" s="25">
        <v>0</v>
      </c>
      <c r="D27" s="25">
        <v>0</v>
      </c>
      <c r="E27" s="55">
        <v>0</v>
      </c>
      <c r="F27" s="55">
        <v>0</v>
      </c>
      <c r="G27" s="25">
        <v>0</v>
      </c>
      <c r="H27" s="25">
        <v>0</v>
      </c>
      <c r="I27" s="25">
        <v>0</v>
      </c>
      <c r="J27" s="126">
        <f t="shared" si="1"/>
        <v>0</v>
      </c>
      <c r="K27" s="25">
        <v>0</v>
      </c>
      <c r="L27" s="126">
        <f>SUM(J27:K27)</f>
        <v>0</v>
      </c>
    </row>
    <row r="28" spans="1:14" ht="15.75" x14ac:dyDescent="0.25">
      <c r="A28" s="22" t="s">
        <v>68</v>
      </c>
      <c r="B28" s="26">
        <f>SUM(B18:B27)</f>
        <v>0</v>
      </c>
      <c r="C28" s="26">
        <f t="shared" ref="C28:H28" si="4">SUM(C18:C27)</f>
        <v>0</v>
      </c>
      <c r="D28" s="26">
        <f t="shared" si="4"/>
        <v>0</v>
      </c>
      <c r="E28" s="26">
        <f t="shared" si="4"/>
        <v>39</v>
      </c>
      <c r="F28" s="26">
        <f t="shared" si="4"/>
        <v>0</v>
      </c>
      <c r="G28" s="26">
        <f t="shared" si="4"/>
        <v>0</v>
      </c>
      <c r="H28" s="26">
        <f t="shared" si="4"/>
        <v>-39</v>
      </c>
      <c r="I28" s="26">
        <f>SUM(I18:I27)</f>
        <v>0</v>
      </c>
      <c r="J28" s="126">
        <f>SUM(B28:I28)</f>
        <v>0</v>
      </c>
      <c r="K28" s="25">
        <v>0</v>
      </c>
      <c r="L28" s="126">
        <f>SUM(J28:K28)</f>
        <v>0</v>
      </c>
    </row>
    <row r="29" spans="1:14" ht="15.75" x14ac:dyDescent="0.25">
      <c r="A29" s="22" t="s">
        <v>359</v>
      </c>
      <c r="B29" s="26">
        <f>+B14+B28</f>
        <v>0</v>
      </c>
      <c r="C29" s="26">
        <f t="shared" ref="C29:H29" si="5">+C14+C28</f>
        <v>0</v>
      </c>
      <c r="D29" s="26">
        <f t="shared" si="5"/>
        <v>2289</v>
      </c>
      <c r="E29" s="26">
        <f t="shared" si="5"/>
        <v>380</v>
      </c>
      <c r="F29" s="26">
        <f t="shared" si="5"/>
        <v>509</v>
      </c>
      <c r="G29" s="26">
        <f t="shared" si="5"/>
        <v>58</v>
      </c>
      <c r="H29" s="26">
        <f t="shared" si="5"/>
        <v>6815</v>
      </c>
      <c r="I29" s="26">
        <f>+I14+I28</f>
        <v>344</v>
      </c>
      <c r="J29" s="126">
        <f>SUM(B29:I29)</f>
        <v>10395</v>
      </c>
      <c r="K29" s="26">
        <f>+K14+K28</f>
        <v>0</v>
      </c>
      <c r="L29" s="26">
        <f>+L14+L28</f>
        <v>10395</v>
      </c>
      <c r="N29" s="113"/>
    </row>
    <row r="30" spans="1:14" s="63" customFormat="1" ht="15.75" x14ac:dyDescent="0.25">
      <c r="A30" s="51"/>
      <c r="B30" s="77"/>
      <c r="C30" s="77"/>
      <c r="D30" s="77"/>
      <c r="E30" s="77"/>
      <c r="F30" s="77"/>
      <c r="G30" s="77"/>
      <c r="H30" s="77"/>
      <c r="I30" s="77"/>
      <c r="J30" s="77"/>
      <c r="K30" s="77"/>
      <c r="L30" s="77"/>
    </row>
    <row r="31" spans="1:14" s="63" customFormat="1" ht="15.75" x14ac:dyDescent="0.25">
      <c r="A31" s="51"/>
      <c r="B31" s="77"/>
      <c r="C31" s="77"/>
      <c r="D31" s="77"/>
      <c r="E31" s="77"/>
      <c r="F31" s="77"/>
      <c r="G31" s="77"/>
      <c r="H31" s="77"/>
      <c r="I31" s="77"/>
      <c r="J31" s="77"/>
      <c r="K31" s="77"/>
      <c r="L31" s="77"/>
    </row>
    <row r="32" spans="1:14" s="63" customFormat="1" x14ac:dyDescent="0.25">
      <c r="B32" s="64"/>
      <c r="C32" s="64"/>
      <c r="D32" s="64"/>
      <c r="E32" s="64"/>
      <c r="F32" s="64"/>
      <c r="G32" s="64"/>
      <c r="H32" s="64"/>
      <c r="I32" s="64"/>
      <c r="J32" s="64"/>
      <c r="K32" s="64"/>
      <c r="L32" s="64"/>
    </row>
    <row r="33" spans="1:13" s="282" customFormat="1" ht="15.75" x14ac:dyDescent="0.25">
      <c r="A33" s="388" t="s">
        <v>101</v>
      </c>
      <c r="B33" s="280"/>
      <c r="C33" s="280"/>
      <c r="D33" s="280"/>
      <c r="E33" s="280"/>
      <c r="F33" s="280"/>
      <c r="G33" s="280"/>
      <c r="H33" s="280"/>
      <c r="I33" s="280"/>
      <c r="J33" s="280"/>
      <c r="K33" s="280"/>
      <c r="L33" s="281"/>
    </row>
    <row r="34" spans="1:13" s="282" customFormat="1" ht="22.5" customHeight="1" x14ac:dyDescent="0.25">
      <c r="A34" s="389"/>
      <c r="B34" s="283"/>
      <c r="C34" s="283"/>
      <c r="D34" s="283"/>
      <c r="E34" s="283"/>
      <c r="F34" s="283"/>
      <c r="G34" s="283"/>
      <c r="H34" s="283"/>
      <c r="I34" s="283"/>
      <c r="J34" s="283"/>
      <c r="K34" s="283"/>
      <c r="L34" s="284"/>
    </row>
    <row r="35" spans="1:13" s="282" customFormat="1" ht="15.75" x14ac:dyDescent="0.25">
      <c r="A35" s="285"/>
      <c r="B35" s="382" t="s">
        <v>338</v>
      </c>
      <c r="C35" s="383"/>
      <c r="D35" s="384"/>
      <c r="E35" s="382" t="s">
        <v>75</v>
      </c>
      <c r="F35" s="383"/>
      <c r="G35" s="383"/>
      <c r="H35" s="384"/>
      <c r="I35" s="286"/>
      <c r="J35" s="287"/>
      <c r="K35" s="288"/>
      <c r="L35" s="287"/>
    </row>
    <row r="36" spans="1:13" s="282" customFormat="1" ht="31.5" x14ac:dyDescent="0.25">
      <c r="A36" s="289" t="s">
        <v>231</v>
      </c>
      <c r="B36" s="287" t="s">
        <v>69</v>
      </c>
      <c r="C36" s="287" t="s">
        <v>69</v>
      </c>
      <c r="D36" s="287" t="s">
        <v>73</v>
      </c>
      <c r="E36" s="378" t="s">
        <v>232</v>
      </c>
      <c r="F36" s="290" t="s">
        <v>233</v>
      </c>
      <c r="G36" s="291" t="s">
        <v>76</v>
      </c>
      <c r="H36" s="291" t="s">
        <v>78</v>
      </c>
      <c r="I36" s="291" t="s">
        <v>80</v>
      </c>
      <c r="J36" s="291" t="s">
        <v>82</v>
      </c>
      <c r="K36" s="290" t="s">
        <v>122</v>
      </c>
      <c r="L36" s="291" t="s">
        <v>50</v>
      </c>
    </row>
    <row r="37" spans="1:13" s="282" customFormat="1" ht="15.75" customHeight="1" x14ac:dyDescent="0.25">
      <c r="A37" s="292"/>
      <c r="B37" s="291" t="s">
        <v>70</v>
      </c>
      <c r="C37" s="291" t="s">
        <v>72</v>
      </c>
      <c r="D37" s="291" t="s">
        <v>74</v>
      </c>
      <c r="E37" s="378"/>
      <c r="F37" s="290" t="s">
        <v>77</v>
      </c>
      <c r="G37" s="291" t="s">
        <v>77</v>
      </c>
      <c r="H37" s="291" t="s">
        <v>79</v>
      </c>
      <c r="I37" s="291" t="s">
        <v>81</v>
      </c>
      <c r="J37" s="291"/>
      <c r="K37" s="291" t="s">
        <v>83</v>
      </c>
      <c r="L37" s="291"/>
    </row>
    <row r="38" spans="1:13" s="282" customFormat="1" ht="15.75" x14ac:dyDescent="0.25">
      <c r="A38" s="293"/>
      <c r="B38" s="294" t="s">
        <v>71</v>
      </c>
      <c r="C38" s="294" t="s">
        <v>71</v>
      </c>
      <c r="D38" s="294"/>
      <c r="E38" s="379"/>
      <c r="F38" s="295"/>
      <c r="G38" s="294"/>
      <c r="H38" s="294"/>
      <c r="I38" s="294"/>
      <c r="J38" s="294"/>
      <c r="K38" s="294"/>
      <c r="L38" s="294"/>
    </row>
    <row r="39" spans="1:13" s="298" customFormat="1" ht="15.75" x14ac:dyDescent="0.25">
      <c r="A39" s="296" t="s">
        <v>358</v>
      </c>
      <c r="B39" s="297">
        <f>91416482/1000</f>
        <v>91416.482000000004</v>
      </c>
      <c r="C39" s="297">
        <v>0</v>
      </c>
      <c r="D39" s="297">
        <v>0</v>
      </c>
      <c r="E39" s="297">
        <f>29267762/1000</f>
        <v>29267.761999999999</v>
      </c>
      <c r="F39" s="297">
        <v>0</v>
      </c>
      <c r="G39" s="297">
        <f>24849936/1000</f>
        <v>24849.936000000002</v>
      </c>
      <c r="H39" s="297">
        <f>-102757206/1000</f>
        <v>-102757.20600000001</v>
      </c>
      <c r="I39" s="297">
        <f>(60016651+45054717+15750465)/1000</f>
        <v>120821.833</v>
      </c>
      <c r="J39" s="297">
        <f>SUM(B39:I39)</f>
        <v>163598.80699999997</v>
      </c>
      <c r="K39" s="297">
        <v>0</v>
      </c>
      <c r="L39" s="297">
        <f>SUM(J39:K39)</f>
        <v>163598.80699999997</v>
      </c>
      <c r="M39" s="315"/>
    </row>
    <row r="40" spans="1:13" s="298" customFormat="1" ht="15.75" x14ac:dyDescent="0.25">
      <c r="A40" s="299" t="s">
        <v>57</v>
      </c>
      <c r="B40" s="297"/>
      <c r="C40" s="297"/>
      <c r="D40" s="297"/>
      <c r="E40" s="297"/>
      <c r="F40" s="297"/>
      <c r="G40" s="297"/>
      <c r="H40" s="297"/>
      <c r="I40" s="297"/>
      <c r="J40" s="297"/>
      <c r="K40" s="297"/>
      <c r="L40" s="297"/>
    </row>
    <row r="41" spans="1:13" s="282" customFormat="1" ht="15.75" x14ac:dyDescent="0.25">
      <c r="A41" s="300" t="s">
        <v>229</v>
      </c>
      <c r="B41" s="301">
        <v>0</v>
      </c>
      <c r="C41" s="301">
        <v>0</v>
      </c>
      <c r="D41" s="301">
        <v>0</v>
      </c>
      <c r="E41" s="301">
        <v>0</v>
      </c>
      <c r="F41" s="301">
        <v>0</v>
      </c>
      <c r="G41" s="301"/>
      <c r="H41" s="301">
        <f>-87014033/1000</f>
        <v>-87014.032999999996</v>
      </c>
      <c r="I41" s="301">
        <v>0</v>
      </c>
      <c r="J41" s="297">
        <f>SUM(B41:I41)</f>
        <v>-87014.032999999996</v>
      </c>
      <c r="K41" s="301">
        <v>0</v>
      </c>
      <c r="L41" s="297">
        <f>SUM(J41:K41)</f>
        <v>-87014.032999999996</v>
      </c>
    </row>
    <row r="42" spans="1:13" s="282" customFormat="1" ht="15.75" x14ac:dyDescent="0.25">
      <c r="A42" s="300" t="s">
        <v>58</v>
      </c>
      <c r="B42" s="301">
        <v>0</v>
      </c>
      <c r="C42" s="301">
        <v>0</v>
      </c>
      <c r="D42" s="301">
        <v>0</v>
      </c>
      <c r="E42" s="301">
        <v>0</v>
      </c>
      <c r="F42" s="301">
        <v>0</v>
      </c>
      <c r="G42" s="301">
        <v>0</v>
      </c>
      <c r="H42" s="301">
        <v>0</v>
      </c>
      <c r="I42" s="301">
        <v>0</v>
      </c>
      <c r="J42" s="297">
        <f>SUM(B42:I42)</f>
        <v>0</v>
      </c>
      <c r="K42" s="301">
        <v>0</v>
      </c>
      <c r="L42" s="297">
        <f>SUM(J42:K42)</f>
        <v>0</v>
      </c>
    </row>
    <row r="43" spans="1:13" s="298" customFormat="1" ht="15.75" x14ac:dyDescent="0.25">
      <c r="A43" s="296" t="s">
        <v>57</v>
      </c>
      <c r="B43" s="297">
        <f>B39</f>
        <v>91416.482000000004</v>
      </c>
      <c r="C43" s="297">
        <f>+C40+C41+C42</f>
        <v>0</v>
      </c>
      <c r="D43" s="297">
        <f>+D40+D41+D42</f>
        <v>0</v>
      </c>
      <c r="E43" s="297">
        <f>E39</f>
        <v>29267.761999999999</v>
      </c>
      <c r="F43" s="297">
        <f>F39</f>
        <v>0</v>
      </c>
      <c r="G43" s="297">
        <f>G39</f>
        <v>24849.936000000002</v>
      </c>
      <c r="H43" s="297">
        <f>SUM(H39:H42)</f>
        <v>-189771.239</v>
      </c>
      <c r="I43" s="297">
        <f>I39</f>
        <v>120821.833</v>
      </c>
      <c r="J43" s="297">
        <f>SUM(B43:I43)</f>
        <v>76584.77399999999</v>
      </c>
      <c r="K43" s="297">
        <f>+K40+K41+K42</f>
        <v>0</v>
      </c>
      <c r="L43" s="297">
        <f>SUM(J43:K43)</f>
        <v>76584.77399999999</v>
      </c>
    </row>
    <row r="44" spans="1:13" s="282" customFormat="1" ht="15.75" x14ac:dyDescent="0.25">
      <c r="A44" s="302"/>
      <c r="B44" s="301"/>
      <c r="C44" s="301"/>
      <c r="D44" s="301"/>
      <c r="E44" s="301"/>
      <c r="F44" s="301"/>
      <c r="G44" s="301"/>
      <c r="H44" s="301"/>
      <c r="I44" s="301"/>
      <c r="J44" s="301"/>
      <c r="K44" s="301"/>
      <c r="L44" s="301"/>
    </row>
    <row r="45" spans="1:13" s="298" customFormat="1" ht="15.75" x14ac:dyDescent="0.25">
      <c r="A45" s="303" t="s">
        <v>227</v>
      </c>
      <c r="B45" s="304"/>
      <c r="C45" s="304"/>
      <c r="D45" s="304"/>
      <c r="E45" s="305"/>
      <c r="F45" s="305"/>
      <c r="G45" s="304"/>
      <c r="H45" s="304"/>
      <c r="I45" s="304"/>
      <c r="J45" s="304"/>
      <c r="K45" s="304"/>
      <c r="L45" s="306"/>
    </row>
    <row r="46" spans="1:13" s="298" customFormat="1" ht="15.75" x14ac:dyDescent="0.25">
      <c r="A46" s="307" t="s">
        <v>228</v>
      </c>
      <c r="B46" s="308"/>
      <c r="C46" s="308"/>
      <c r="D46" s="308"/>
      <c r="E46" s="308"/>
      <c r="F46" s="308"/>
      <c r="G46" s="308"/>
      <c r="H46" s="308"/>
      <c r="I46" s="308"/>
      <c r="J46" s="308"/>
      <c r="K46" s="308"/>
      <c r="L46" s="309"/>
    </row>
    <row r="47" spans="1:13" s="282" customFormat="1" ht="15.75" x14ac:dyDescent="0.25">
      <c r="A47" s="302" t="s">
        <v>59</v>
      </c>
      <c r="B47" s="301">
        <f>72953401/1000</f>
        <v>72953.400999999998</v>
      </c>
      <c r="C47" s="301">
        <v>0</v>
      </c>
      <c r="D47" s="301">
        <v>0</v>
      </c>
      <c r="E47" s="301">
        <v>0</v>
      </c>
      <c r="F47" s="301">
        <v>0</v>
      </c>
      <c r="G47" s="301">
        <v>0</v>
      </c>
      <c r="H47" s="301">
        <v>0</v>
      </c>
      <c r="I47" s="301">
        <f>9216599/1000</f>
        <v>9216.5990000000002</v>
      </c>
      <c r="J47" s="297">
        <f>SUM(B47:I47)</f>
        <v>82170</v>
      </c>
      <c r="K47" s="301">
        <v>0</v>
      </c>
      <c r="L47" s="297">
        <f>SUM(J47:K47)</f>
        <v>82170</v>
      </c>
    </row>
    <row r="48" spans="1:13" s="282" customFormat="1" ht="15.75" x14ac:dyDescent="0.25">
      <c r="A48" s="302" t="s">
        <v>60</v>
      </c>
      <c r="B48" s="301">
        <v>0</v>
      </c>
      <c r="C48" s="301">
        <v>0</v>
      </c>
      <c r="D48" s="301">
        <v>0</v>
      </c>
      <c r="E48" s="301">
        <v>0</v>
      </c>
      <c r="F48" s="301">
        <v>0</v>
      </c>
      <c r="G48" s="301">
        <v>0</v>
      </c>
      <c r="H48" s="301">
        <v>0</v>
      </c>
      <c r="I48" s="301">
        <v>0</v>
      </c>
      <c r="J48" s="297">
        <f t="shared" ref="J48:J56" si="6">SUM(B48:I48)</f>
        <v>0</v>
      </c>
      <c r="K48" s="301">
        <v>0</v>
      </c>
      <c r="L48" s="297">
        <f t="shared" ref="L48:L56" si="7">SUM(J48:K48)</f>
        <v>0</v>
      </c>
    </row>
    <row r="49" spans="1:14" s="282" customFormat="1" ht="15.75" x14ac:dyDescent="0.25">
      <c r="A49" s="302" t="s">
        <v>61</v>
      </c>
      <c r="B49" s="301">
        <v>0</v>
      </c>
      <c r="C49" s="301">
        <v>0</v>
      </c>
      <c r="D49" s="301">
        <v>0</v>
      </c>
      <c r="E49" s="301">
        <v>0</v>
      </c>
      <c r="F49" s="301">
        <v>0</v>
      </c>
      <c r="G49" s="301">
        <v>0</v>
      </c>
      <c r="H49" s="301">
        <v>0</v>
      </c>
      <c r="I49" s="301">
        <v>0</v>
      </c>
      <c r="J49" s="297">
        <f t="shared" si="6"/>
        <v>0</v>
      </c>
      <c r="K49" s="301">
        <v>0</v>
      </c>
      <c r="L49" s="297">
        <f t="shared" si="7"/>
        <v>0</v>
      </c>
    </row>
    <row r="50" spans="1:14" s="282" customFormat="1" ht="15.75" x14ac:dyDescent="0.25">
      <c r="A50" s="302" t="s">
        <v>62</v>
      </c>
      <c r="B50" s="301">
        <v>0</v>
      </c>
      <c r="C50" s="301">
        <v>0</v>
      </c>
      <c r="D50" s="301">
        <v>0</v>
      </c>
      <c r="E50" s="301">
        <v>0</v>
      </c>
      <c r="F50" s="301">
        <v>0</v>
      </c>
      <c r="G50" s="301">
        <v>0</v>
      </c>
      <c r="H50" s="301">
        <v>0</v>
      </c>
      <c r="I50" s="301">
        <v>0</v>
      </c>
      <c r="J50" s="297">
        <f t="shared" si="6"/>
        <v>0</v>
      </c>
      <c r="K50" s="301">
        <v>0</v>
      </c>
      <c r="L50" s="297">
        <f t="shared" si="7"/>
        <v>0</v>
      </c>
    </row>
    <row r="51" spans="1:14" s="282" customFormat="1" ht="15.75" x14ac:dyDescent="0.25">
      <c r="A51" s="302" t="s">
        <v>230</v>
      </c>
      <c r="B51" s="301">
        <v>0</v>
      </c>
      <c r="C51" s="301">
        <v>0</v>
      </c>
      <c r="D51" s="301">
        <v>0</v>
      </c>
      <c r="E51" s="301">
        <v>0</v>
      </c>
      <c r="F51" s="301">
        <v>0</v>
      </c>
      <c r="G51" s="301">
        <v>0</v>
      </c>
      <c r="H51" s="301">
        <v>0</v>
      </c>
      <c r="I51" s="301">
        <f>+(2590147+1741138)/1000</f>
        <v>4331.2849999999999</v>
      </c>
      <c r="J51" s="297">
        <f t="shared" si="6"/>
        <v>4331.2849999999999</v>
      </c>
      <c r="K51" s="301">
        <v>0</v>
      </c>
      <c r="L51" s="297">
        <f t="shared" si="7"/>
        <v>4331.2849999999999</v>
      </c>
    </row>
    <row r="52" spans="1:14" s="282" customFormat="1" ht="15.75" x14ac:dyDescent="0.25">
      <c r="A52" s="302" t="s">
        <v>63</v>
      </c>
      <c r="B52" s="301">
        <v>0</v>
      </c>
      <c r="C52" s="301">
        <v>0</v>
      </c>
      <c r="D52" s="301">
        <v>0</v>
      </c>
      <c r="E52" s="301">
        <v>0</v>
      </c>
      <c r="F52" s="301">
        <v>0</v>
      </c>
      <c r="G52" s="301">
        <v>0</v>
      </c>
      <c r="H52" s="301">
        <v>0</v>
      </c>
      <c r="I52" s="301">
        <v>0</v>
      </c>
      <c r="J52" s="297">
        <f t="shared" si="6"/>
        <v>0</v>
      </c>
      <c r="K52" s="301">
        <v>0</v>
      </c>
      <c r="L52" s="297">
        <f t="shared" si="7"/>
        <v>0</v>
      </c>
    </row>
    <row r="53" spans="1:14" s="282" customFormat="1" ht="15.75" x14ac:dyDescent="0.25">
      <c r="A53" s="302" t="s">
        <v>64</v>
      </c>
      <c r="B53" s="301">
        <v>0</v>
      </c>
      <c r="C53" s="301">
        <v>0</v>
      </c>
      <c r="D53" s="301">
        <v>0</v>
      </c>
      <c r="E53" s="301">
        <v>0</v>
      </c>
      <c r="F53" s="301">
        <v>0</v>
      </c>
      <c r="G53" s="301">
        <v>0</v>
      </c>
      <c r="H53" s="301">
        <v>0</v>
      </c>
      <c r="I53" s="301">
        <v>0</v>
      </c>
      <c r="J53" s="297">
        <f t="shared" si="6"/>
        <v>0</v>
      </c>
      <c r="K53" s="301">
        <v>0</v>
      </c>
      <c r="L53" s="297">
        <f t="shared" si="7"/>
        <v>0</v>
      </c>
    </row>
    <row r="54" spans="1:14" s="282" customFormat="1" ht="15.75" x14ac:dyDescent="0.25">
      <c r="A54" s="310" t="s">
        <v>65</v>
      </c>
      <c r="B54" s="380">
        <v>0</v>
      </c>
      <c r="C54" s="380">
        <v>0</v>
      </c>
      <c r="D54" s="380">
        <v>0</v>
      </c>
      <c r="E54" s="380">
        <v>0</v>
      </c>
      <c r="F54" s="380">
        <v>0</v>
      </c>
      <c r="G54" s="380">
        <f>-1536310/1000</f>
        <v>-1536.31</v>
      </c>
      <c r="H54" s="380">
        <v>0</v>
      </c>
      <c r="I54" s="380">
        <v>0</v>
      </c>
      <c r="J54" s="372">
        <f t="shared" si="6"/>
        <v>-1536.31</v>
      </c>
      <c r="K54" s="380">
        <v>0</v>
      </c>
      <c r="L54" s="372">
        <f t="shared" si="7"/>
        <v>-1536.31</v>
      </c>
    </row>
    <row r="55" spans="1:14" s="282" customFormat="1" ht="15.75" x14ac:dyDescent="0.25">
      <c r="A55" s="311" t="s">
        <v>66</v>
      </c>
      <c r="B55" s="381"/>
      <c r="C55" s="381"/>
      <c r="D55" s="381"/>
      <c r="E55" s="381"/>
      <c r="F55" s="381"/>
      <c r="G55" s="381"/>
      <c r="H55" s="381"/>
      <c r="I55" s="381"/>
      <c r="J55" s="373"/>
      <c r="K55" s="381"/>
      <c r="L55" s="373"/>
    </row>
    <row r="56" spans="1:14" s="282" customFormat="1" ht="15.75" x14ac:dyDescent="0.25">
      <c r="A56" s="310" t="s">
        <v>67</v>
      </c>
      <c r="B56" s="301">
        <v>0</v>
      </c>
      <c r="C56" s="301">
        <v>0</v>
      </c>
      <c r="D56" s="301">
        <v>0</v>
      </c>
      <c r="E56" s="301"/>
      <c r="F56" s="301">
        <v>0</v>
      </c>
      <c r="G56" s="301">
        <v>0</v>
      </c>
      <c r="H56" s="301">
        <v>0</v>
      </c>
      <c r="I56" s="301"/>
      <c r="J56" s="297">
        <f t="shared" si="6"/>
        <v>0</v>
      </c>
      <c r="K56" s="301">
        <v>0</v>
      </c>
      <c r="L56" s="297">
        <f t="shared" si="7"/>
        <v>0</v>
      </c>
      <c r="N56" s="312"/>
    </row>
    <row r="57" spans="1:14" s="298" customFormat="1" ht="15.75" x14ac:dyDescent="0.25">
      <c r="A57" s="296" t="s">
        <v>68</v>
      </c>
      <c r="B57" s="297">
        <f>SUM(B47:B56)</f>
        <v>72953.400999999998</v>
      </c>
      <c r="C57" s="297">
        <f t="shared" ref="C57:K57" si="8">SUM(C47:C56)</f>
        <v>0</v>
      </c>
      <c r="D57" s="297">
        <f t="shared" si="8"/>
        <v>0</v>
      </c>
      <c r="E57" s="297">
        <f t="shared" si="8"/>
        <v>0</v>
      </c>
      <c r="F57" s="297">
        <f t="shared" ref="F57" si="9">SUM(F47:F56)</f>
        <v>0</v>
      </c>
      <c r="G57" s="297">
        <f>SUM(G47:G56)</f>
        <v>-1536.31</v>
      </c>
      <c r="H57" s="297">
        <f t="shared" si="8"/>
        <v>0</v>
      </c>
      <c r="I57" s="297">
        <f t="shared" si="8"/>
        <v>13547.884</v>
      </c>
      <c r="J57" s="297">
        <f>SUM(J47:J56)</f>
        <v>84964.975000000006</v>
      </c>
      <c r="K57" s="297">
        <f t="shared" si="8"/>
        <v>0</v>
      </c>
      <c r="L57" s="297">
        <f>SUM(L47:L56)</f>
        <v>84964.975000000006</v>
      </c>
      <c r="M57" s="313"/>
    </row>
    <row r="58" spans="1:14" s="298" customFormat="1" ht="15.75" x14ac:dyDescent="0.25">
      <c r="A58" s="296" t="s">
        <v>359</v>
      </c>
      <c r="B58" s="297">
        <f>+B57+B43</f>
        <v>164369.883</v>
      </c>
      <c r="C58" s="297">
        <f>+C43</f>
        <v>0</v>
      </c>
      <c r="D58" s="297">
        <f>+D43</f>
        <v>0</v>
      </c>
      <c r="E58" s="297">
        <f t="shared" ref="E58:J58" si="10">+E57+E43</f>
        <v>29267.761999999999</v>
      </c>
      <c r="F58" s="297">
        <f t="shared" si="10"/>
        <v>0</v>
      </c>
      <c r="G58" s="297">
        <f t="shared" si="10"/>
        <v>23313.626</v>
      </c>
      <c r="H58" s="297">
        <f t="shared" si="10"/>
        <v>-189771.239</v>
      </c>
      <c r="I58" s="297">
        <f t="shared" si="10"/>
        <v>134369.717</v>
      </c>
      <c r="J58" s="297">
        <f t="shared" si="10"/>
        <v>161549.74900000001</v>
      </c>
      <c r="K58" s="297">
        <f>+K43</f>
        <v>0</v>
      </c>
      <c r="L58" s="297">
        <f>+K58+J58</f>
        <v>161549.74900000001</v>
      </c>
      <c r="M58" s="315"/>
    </row>
    <row r="59" spans="1:14" s="282" customFormat="1" x14ac:dyDescent="0.25">
      <c r="I59" s="98"/>
    </row>
    <row r="60" spans="1:14" s="282" customFormat="1" x14ac:dyDescent="0.25">
      <c r="I60" s="113"/>
    </row>
    <row r="61" spans="1:14" s="282" customFormat="1" x14ac:dyDescent="0.25">
      <c r="J61" s="314"/>
    </row>
    <row r="62" spans="1:14" x14ac:dyDescent="0.25">
      <c r="J62" s="11"/>
    </row>
    <row r="63" spans="1:14" x14ac:dyDescent="0.25">
      <c r="J63" s="10"/>
    </row>
    <row r="64" spans="1:14" x14ac:dyDescent="0.25">
      <c r="J64" s="10"/>
    </row>
  </sheetData>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election activeCell="D14" sqref="D14"/>
    </sheetView>
  </sheetViews>
  <sheetFormatPr defaultRowHeight="15" x14ac:dyDescent="0.25"/>
  <cols>
    <col min="1" max="1" width="64.85546875" style="134" customWidth="1"/>
    <col min="2" max="3" width="10.28515625" style="134" bestFit="1" customWidth="1"/>
    <col min="4" max="4" width="10.5703125" style="333" bestFit="1" customWidth="1"/>
    <col min="5" max="5" width="10.5703125" style="134" bestFit="1" customWidth="1"/>
    <col min="6" max="16384" width="9.140625" style="134"/>
  </cols>
  <sheetData>
    <row r="1" spans="1:5" ht="15.75" x14ac:dyDescent="0.25">
      <c r="A1" s="396" t="s">
        <v>21</v>
      </c>
      <c r="B1" s="397"/>
      <c r="C1" s="397"/>
      <c r="D1" s="397"/>
      <c r="E1" s="398"/>
    </row>
    <row r="2" spans="1:5" ht="15.75" x14ac:dyDescent="0.25">
      <c r="A2" s="399" t="s">
        <v>133</v>
      </c>
      <c r="B2" s="400"/>
      <c r="C2" s="400"/>
      <c r="D2" s="400"/>
      <c r="E2" s="401"/>
    </row>
    <row r="3" spans="1:5" ht="15.75" x14ac:dyDescent="0.25">
      <c r="A3" s="399" t="s">
        <v>354</v>
      </c>
      <c r="B3" s="400"/>
      <c r="C3" s="400"/>
      <c r="D3" s="400"/>
      <c r="E3" s="401"/>
    </row>
    <row r="4" spans="1:5" ht="15.75" x14ac:dyDescent="0.25">
      <c r="A4" s="392"/>
      <c r="B4" s="393"/>
      <c r="C4" s="393"/>
      <c r="D4" s="393"/>
      <c r="E4" s="394"/>
    </row>
    <row r="5" spans="1:5" ht="15.75" x14ac:dyDescent="0.25">
      <c r="A5" s="135"/>
      <c r="B5" s="395" t="s">
        <v>163</v>
      </c>
      <c r="C5" s="395"/>
      <c r="D5" s="395" t="s">
        <v>134</v>
      </c>
      <c r="E5" s="395"/>
    </row>
    <row r="6" spans="1:5" ht="15.75" x14ac:dyDescent="0.25">
      <c r="A6" s="136" t="s">
        <v>188</v>
      </c>
      <c r="B6" s="199" t="s">
        <v>17</v>
      </c>
      <c r="C6" s="199" t="s">
        <v>320</v>
      </c>
      <c r="D6" s="326" t="s">
        <v>17</v>
      </c>
      <c r="E6" s="199" t="s">
        <v>320</v>
      </c>
    </row>
    <row r="7" spans="1:5" ht="15.75" x14ac:dyDescent="0.25">
      <c r="A7" s="137"/>
      <c r="B7" s="132" t="s">
        <v>360</v>
      </c>
      <c r="C7" s="132" t="s">
        <v>339</v>
      </c>
      <c r="D7" s="248" t="s">
        <v>360</v>
      </c>
      <c r="E7" s="132" t="s">
        <v>339</v>
      </c>
    </row>
    <row r="8" spans="1:5" ht="15.75" x14ac:dyDescent="0.25">
      <c r="A8" s="137"/>
      <c r="B8" s="199" t="s">
        <v>319</v>
      </c>
      <c r="C8" s="199" t="s">
        <v>319</v>
      </c>
      <c r="D8" s="326" t="s">
        <v>319</v>
      </c>
      <c r="E8" s="199" t="s">
        <v>319</v>
      </c>
    </row>
    <row r="9" spans="1:5" ht="15.75" x14ac:dyDescent="0.25">
      <c r="A9" s="325"/>
      <c r="B9" s="138" t="s">
        <v>126</v>
      </c>
      <c r="C9" s="138" t="s">
        <v>126</v>
      </c>
      <c r="D9" s="327" t="s">
        <v>126</v>
      </c>
      <c r="E9" s="138" t="s">
        <v>126</v>
      </c>
    </row>
    <row r="10" spans="1:5" ht="15.75" x14ac:dyDescent="0.25">
      <c r="A10" s="139" t="s">
        <v>135</v>
      </c>
      <c r="B10" s="261"/>
      <c r="C10" s="140"/>
      <c r="D10" s="261"/>
      <c r="E10" s="140"/>
    </row>
    <row r="11" spans="1:5" ht="15.75" x14ac:dyDescent="0.25">
      <c r="A11" s="141" t="s">
        <v>234</v>
      </c>
      <c r="B11" s="316">
        <v>2251</v>
      </c>
      <c r="C11" s="94">
        <v>1799.1631400000001</v>
      </c>
      <c r="D11" s="251">
        <v>174061</v>
      </c>
      <c r="E11" s="94">
        <v>176312.61222000001</v>
      </c>
    </row>
    <row r="12" spans="1:5" ht="15.75" x14ac:dyDescent="0.25">
      <c r="A12" s="141" t="s">
        <v>235</v>
      </c>
      <c r="B12" s="316">
        <v>-906</v>
      </c>
      <c r="C12" s="94">
        <v>-680.06773199999998</v>
      </c>
      <c r="D12" s="251">
        <v>121032</v>
      </c>
      <c r="E12" s="94">
        <v>-123521.278527</v>
      </c>
    </row>
    <row r="13" spans="1:5" ht="15.75" x14ac:dyDescent="0.25">
      <c r="A13" s="141" t="s">
        <v>236</v>
      </c>
      <c r="B13" s="316">
        <v>108</v>
      </c>
      <c r="C13" s="94">
        <v>100.09710800000001</v>
      </c>
      <c r="D13" s="251">
        <v>8468</v>
      </c>
      <c r="E13" s="94">
        <v>9313.8873669999994</v>
      </c>
    </row>
    <row r="14" spans="1:5" ht="15.75" x14ac:dyDescent="0.25">
      <c r="A14" s="141" t="s">
        <v>237</v>
      </c>
      <c r="B14" s="316">
        <v>4</v>
      </c>
      <c r="C14" s="94">
        <v>5.5042220000000004</v>
      </c>
      <c r="D14" s="251">
        <v>396</v>
      </c>
      <c r="E14" s="94">
        <v>454.78430100000003</v>
      </c>
    </row>
    <row r="15" spans="1:5" s="169" customFormat="1" ht="15.75" x14ac:dyDescent="0.25">
      <c r="A15" s="141" t="s">
        <v>238</v>
      </c>
      <c r="B15" s="316">
        <v>-51</v>
      </c>
      <c r="C15" s="94">
        <v>-45.755986999999998</v>
      </c>
      <c r="D15" s="251">
        <v>-32407</v>
      </c>
      <c r="E15" s="94">
        <v>-26468.482298999999</v>
      </c>
    </row>
    <row r="16" spans="1:5" s="169" customFormat="1" ht="15.75" x14ac:dyDescent="0.25">
      <c r="A16" s="141" t="s">
        <v>239</v>
      </c>
      <c r="B16" s="316">
        <v>-253</v>
      </c>
      <c r="C16" s="94">
        <v>-196.89348000000001</v>
      </c>
      <c r="D16" s="251">
        <v>0</v>
      </c>
      <c r="E16" s="94">
        <v>0</v>
      </c>
    </row>
    <row r="17" spans="1:6" s="169" customFormat="1" ht="15.75" x14ac:dyDescent="0.25">
      <c r="A17" s="141" t="s">
        <v>240</v>
      </c>
      <c r="B17" s="316">
        <v>10</v>
      </c>
      <c r="C17" s="94">
        <v>17.065048000000001</v>
      </c>
      <c r="D17" s="251">
        <v>24733</v>
      </c>
      <c r="E17" s="94">
        <v>32294.537704999999</v>
      </c>
    </row>
    <row r="18" spans="1:6" s="169" customFormat="1" ht="15.75" x14ac:dyDescent="0.25">
      <c r="A18" s="141" t="s">
        <v>241</v>
      </c>
      <c r="B18" s="316">
        <v>-164</v>
      </c>
      <c r="C18" s="94">
        <v>-111.974864</v>
      </c>
      <c r="D18" s="251">
        <v>-381421</v>
      </c>
      <c r="E18" s="94">
        <v>-105623.49652299999</v>
      </c>
    </row>
    <row r="19" spans="1:6" s="169" customFormat="1" ht="16.5" thickBot="1" x14ac:dyDescent="0.3">
      <c r="A19" s="139" t="s">
        <v>242</v>
      </c>
      <c r="B19" s="317">
        <f>SUM(B11:B18)</f>
        <v>999</v>
      </c>
      <c r="C19" s="200">
        <v>887.13745500000016</v>
      </c>
      <c r="D19" s="328">
        <f t="shared" ref="D19" si="0">SUM(D11:D18)</f>
        <v>-85138</v>
      </c>
      <c r="E19" s="200">
        <v>-37237.435755999992</v>
      </c>
      <c r="F19" s="275"/>
    </row>
    <row r="20" spans="1:6" s="169" customFormat="1" ht="16.5" thickTop="1" x14ac:dyDescent="0.25">
      <c r="A20" s="141"/>
      <c r="B20" s="318"/>
      <c r="C20" s="162"/>
      <c r="D20" s="252"/>
      <c r="E20" s="162"/>
    </row>
    <row r="21" spans="1:6" s="169" customFormat="1" ht="15.75" x14ac:dyDescent="0.25">
      <c r="A21" s="139" t="s">
        <v>243</v>
      </c>
      <c r="B21" s="316"/>
      <c r="C21" s="94"/>
      <c r="D21" s="251"/>
      <c r="E21" s="94"/>
    </row>
    <row r="22" spans="1:6" s="169" customFormat="1" ht="15.75" x14ac:dyDescent="0.25">
      <c r="A22" s="141" t="s">
        <v>244</v>
      </c>
      <c r="B22" s="316">
        <v>0</v>
      </c>
      <c r="C22" s="94">
        <v>0</v>
      </c>
      <c r="D22" s="251">
        <v>0</v>
      </c>
      <c r="E22" s="94">
        <v>0</v>
      </c>
    </row>
    <row r="23" spans="1:6" s="169" customFormat="1" ht="15.75" x14ac:dyDescent="0.25">
      <c r="A23" s="141" t="s">
        <v>245</v>
      </c>
      <c r="B23" s="316">
        <v>0</v>
      </c>
      <c r="C23" s="94">
        <v>0</v>
      </c>
      <c r="D23" s="251">
        <v>0</v>
      </c>
      <c r="E23" s="94">
        <v>0</v>
      </c>
    </row>
    <row r="24" spans="1:6" s="169" customFormat="1" ht="15.75" x14ac:dyDescent="0.25">
      <c r="A24" s="141" t="s">
        <v>246</v>
      </c>
      <c r="B24" s="316">
        <f>+(104003967.98992+1155878249.68667+28558)/1000000</f>
        <v>1259.91077567659</v>
      </c>
      <c r="C24" s="94">
        <v>-2936.6250030000001</v>
      </c>
      <c r="D24" s="251">
        <f>+(125265602.568661-110980759.054047)/1000</f>
        <v>14284.843514614</v>
      </c>
      <c r="E24" s="94">
        <v>25540.605</v>
      </c>
    </row>
    <row r="25" spans="1:6" s="169" customFormat="1" ht="15.75" x14ac:dyDescent="0.25">
      <c r="A25" s="141"/>
      <c r="B25" s="319"/>
      <c r="C25" s="151"/>
      <c r="D25" s="272"/>
      <c r="E25" s="151"/>
    </row>
    <row r="26" spans="1:6" s="169" customFormat="1" ht="15.75" x14ac:dyDescent="0.25">
      <c r="A26" s="139" t="s">
        <v>247</v>
      </c>
      <c r="B26" s="319"/>
      <c r="C26" s="151"/>
      <c r="D26" s="272"/>
      <c r="E26" s="151"/>
    </row>
    <row r="27" spans="1:6" s="169" customFormat="1" ht="15.75" x14ac:dyDescent="0.25">
      <c r="A27" s="141" t="s">
        <v>248</v>
      </c>
      <c r="B27" s="319">
        <v>0</v>
      </c>
      <c r="C27" s="151">
        <v>0</v>
      </c>
      <c r="D27" s="272">
        <v>0</v>
      </c>
      <c r="E27" s="151">
        <v>0</v>
      </c>
    </row>
    <row r="28" spans="1:6" s="169" customFormat="1" ht="15.75" x14ac:dyDescent="0.25">
      <c r="A28" s="171" t="s">
        <v>249</v>
      </c>
      <c r="B28" s="319">
        <v>0</v>
      </c>
      <c r="C28" s="151">
        <v>0</v>
      </c>
      <c r="D28" s="272">
        <v>0</v>
      </c>
      <c r="E28" s="151">
        <v>0</v>
      </c>
    </row>
    <row r="29" spans="1:6" s="169" customFormat="1" ht="15.75" x14ac:dyDescent="0.25">
      <c r="A29" s="141" t="s">
        <v>250</v>
      </c>
      <c r="B29" s="319">
        <v>0</v>
      </c>
      <c r="C29" s="151">
        <v>0</v>
      </c>
      <c r="D29" s="272">
        <v>0</v>
      </c>
      <c r="E29" s="151">
        <v>0</v>
      </c>
    </row>
    <row r="30" spans="1:6" s="169" customFormat="1" ht="15.75" x14ac:dyDescent="0.25">
      <c r="A30" s="141" t="s">
        <v>251</v>
      </c>
      <c r="B30" s="319">
        <f>+(2174855771.29522-1388900-5186682)/1000000</f>
        <v>2168.2801892952198</v>
      </c>
      <c r="C30" s="151">
        <v>-2187.9445409999998</v>
      </c>
      <c r="D30" s="272">
        <f>(110980759.054047+3524859.85)/1000</f>
        <v>114505.61890404699</v>
      </c>
      <c r="E30" s="151">
        <v>12999.769</v>
      </c>
    </row>
    <row r="31" spans="1:6" s="169" customFormat="1" ht="15.75" x14ac:dyDescent="0.25">
      <c r="A31" s="139" t="s">
        <v>252</v>
      </c>
      <c r="B31" s="319"/>
      <c r="C31" s="151"/>
      <c r="D31" s="272"/>
      <c r="E31" s="151"/>
    </row>
    <row r="32" spans="1:6" s="169" customFormat="1" ht="15.75" x14ac:dyDescent="0.25">
      <c r="A32" s="141"/>
      <c r="B32" s="319"/>
      <c r="C32" s="151"/>
      <c r="D32" s="272"/>
      <c r="E32" s="151"/>
    </row>
    <row r="33" spans="1:5" s="169" customFormat="1" ht="15.75" x14ac:dyDescent="0.25">
      <c r="A33" s="141" t="s">
        <v>253</v>
      </c>
      <c r="B33" s="319">
        <f>-362777897.184933/1000000</f>
        <v>-362.77789718493301</v>
      </c>
      <c r="C33" s="151">
        <v>-191.52185299999999</v>
      </c>
      <c r="D33" s="272">
        <f>-4950604.98173842/1000</f>
        <v>-4950.6049817384201</v>
      </c>
      <c r="E33" s="151">
        <v>-9161.5259999999998</v>
      </c>
    </row>
    <row r="34" spans="1:5" s="169" customFormat="1" ht="16.5" thickBot="1" x14ac:dyDescent="0.3">
      <c r="A34" s="139" t="s">
        <v>254</v>
      </c>
      <c r="B34" s="320">
        <f>SUM(B19:B33)</f>
        <v>4064.4130677868761</v>
      </c>
      <c r="C34" s="203">
        <v>-4428.9539420000001</v>
      </c>
      <c r="D34" s="329">
        <f>SUM(D19:D33)</f>
        <v>38701.857436922568</v>
      </c>
      <c r="E34" s="203">
        <v>-7858.5877559999917</v>
      </c>
    </row>
    <row r="35" spans="1:5" s="169" customFormat="1" ht="16.5" thickTop="1" x14ac:dyDescent="0.25">
      <c r="A35" s="139"/>
      <c r="B35" s="321"/>
      <c r="C35" s="201"/>
      <c r="D35" s="330"/>
      <c r="E35" s="201"/>
    </row>
    <row r="36" spans="1:5" ht="15.75" x14ac:dyDescent="0.25">
      <c r="A36" s="139" t="s">
        <v>136</v>
      </c>
      <c r="B36" s="322"/>
      <c r="C36" s="202"/>
      <c r="D36" s="331"/>
      <c r="E36" s="202"/>
    </row>
    <row r="37" spans="1:5" ht="15.75" x14ac:dyDescent="0.25">
      <c r="A37" s="141" t="s">
        <v>137</v>
      </c>
      <c r="B37" s="319">
        <f>-465661.4/1000000</f>
        <v>-0.4656614</v>
      </c>
      <c r="C37" s="151">
        <v>-2.0558550000000002</v>
      </c>
      <c r="D37" s="272">
        <f>-1290291.74957834/1000</f>
        <v>-1290.2917495783399</v>
      </c>
      <c r="E37" s="151">
        <v>-8478.8240000000005</v>
      </c>
    </row>
    <row r="38" spans="1:5" ht="15.75" x14ac:dyDescent="0.25">
      <c r="A38" s="141" t="s">
        <v>138</v>
      </c>
      <c r="B38" s="319">
        <v>0</v>
      </c>
      <c r="C38" s="151">
        <v>0</v>
      </c>
      <c r="D38" s="272">
        <f>436154.840681137/1000</f>
        <v>436.15484068113699</v>
      </c>
      <c r="E38" s="151">
        <v>2007.454</v>
      </c>
    </row>
    <row r="39" spans="1:5" ht="15.75" x14ac:dyDescent="0.25">
      <c r="A39" s="141" t="s">
        <v>139</v>
      </c>
      <c r="B39" s="319">
        <v>2082</v>
      </c>
      <c r="C39" s="151">
        <v>9602.0330279999998</v>
      </c>
      <c r="D39" s="272">
        <v>0</v>
      </c>
      <c r="E39" s="151">
        <v>0</v>
      </c>
    </row>
    <row r="40" spans="1:5" ht="15.75" x14ac:dyDescent="0.25">
      <c r="A40" s="141" t="s">
        <v>140</v>
      </c>
      <c r="B40" s="319">
        <v>0</v>
      </c>
      <c r="C40" s="151">
        <v>0</v>
      </c>
      <c r="D40" s="272">
        <v>0</v>
      </c>
      <c r="E40" s="151">
        <v>0</v>
      </c>
    </row>
    <row r="41" spans="1:5" ht="15.75" x14ac:dyDescent="0.25">
      <c r="A41" s="141" t="s">
        <v>141</v>
      </c>
      <c r="B41" s="319">
        <v>0</v>
      </c>
      <c r="C41" s="151">
        <v>0</v>
      </c>
      <c r="D41" s="272">
        <v>0</v>
      </c>
      <c r="E41" s="151">
        <v>0</v>
      </c>
    </row>
    <row r="42" spans="1:5" ht="31.5" x14ac:dyDescent="0.25">
      <c r="A42" s="170" t="s">
        <v>256</v>
      </c>
      <c r="B42" s="319">
        <v>0</v>
      </c>
      <c r="C42" s="151">
        <v>0</v>
      </c>
      <c r="D42" s="272">
        <v>0</v>
      </c>
      <c r="E42" s="151">
        <v>0</v>
      </c>
    </row>
    <row r="43" spans="1:5" ht="31.5" x14ac:dyDescent="0.25">
      <c r="A43" s="170" t="s">
        <v>257</v>
      </c>
      <c r="B43" s="319">
        <v>0</v>
      </c>
      <c r="C43" s="151">
        <v>0</v>
      </c>
      <c r="D43" s="272">
        <v>0</v>
      </c>
      <c r="E43" s="151">
        <v>0</v>
      </c>
    </row>
    <row r="44" spans="1:5" ht="15.75" x14ac:dyDescent="0.25">
      <c r="A44" s="141" t="s">
        <v>142</v>
      </c>
      <c r="B44" s="319">
        <f>1388900/1000000</f>
        <v>1.3889</v>
      </c>
      <c r="C44" s="151">
        <v>1.1259999999999999</v>
      </c>
      <c r="D44" s="272">
        <v>0</v>
      </c>
      <c r="E44" s="151">
        <v>0</v>
      </c>
    </row>
    <row r="45" spans="1:5" ht="15.75" x14ac:dyDescent="0.25">
      <c r="A45" s="141" t="s">
        <v>143</v>
      </c>
      <c r="B45" s="319">
        <v>0</v>
      </c>
      <c r="C45" s="151">
        <v>0</v>
      </c>
      <c r="D45" s="272">
        <v>0</v>
      </c>
      <c r="E45" s="151">
        <v>0</v>
      </c>
    </row>
    <row r="46" spans="1:5" ht="16.5" thickBot="1" x14ac:dyDescent="0.3">
      <c r="A46" s="139" t="s">
        <v>144</v>
      </c>
      <c r="B46" s="320">
        <f>SUM(B37:B45)</f>
        <v>2082.9232385999999</v>
      </c>
      <c r="C46" s="203">
        <v>9601.1031729999995</v>
      </c>
      <c r="D46" s="329">
        <f>SUM(D37:D45)</f>
        <v>-854.13690889720294</v>
      </c>
      <c r="E46" s="203">
        <v>-6471.3700000000008</v>
      </c>
    </row>
    <row r="47" spans="1:5" s="169" customFormat="1" ht="16.5" thickTop="1" x14ac:dyDescent="0.25">
      <c r="A47" s="141"/>
      <c r="B47" s="323"/>
      <c r="C47" s="204"/>
      <c r="D47" s="332"/>
      <c r="E47" s="204"/>
    </row>
    <row r="48" spans="1:5" ht="15.75" x14ac:dyDescent="0.25">
      <c r="A48" s="139" t="s">
        <v>145</v>
      </c>
      <c r="B48" s="319"/>
      <c r="C48" s="151"/>
      <c r="D48" s="272"/>
      <c r="E48" s="151"/>
    </row>
    <row r="49" spans="1:9" ht="15.75" x14ac:dyDescent="0.25">
      <c r="A49" s="141" t="s">
        <v>146</v>
      </c>
      <c r="B49" s="319">
        <v>0</v>
      </c>
      <c r="C49" s="151">
        <v>0</v>
      </c>
      <c r="D49" s="272">
        <f>82169999.99992/1000</f>
        <v>82169.999999919994</v>
      </c>
      <c r="E49" s="151">
        <v>62234.671999999999</v>
      </c>
    </row>
    <row r="50" spans="1:9" ht="15.75" x14ac:dyDescent="0.25">
      <c r="A50" s="141" t="s">
        <v>147</v>
      </c>
      <c r="B50" s="319">
        <v>0</v>
      </c>
      <c r="C50" s="151">
        <v>0</v>
      </c>
      <c r="D50" s="272">
        <v>0</v>
      </c>
      <c r="E50" s="151">
        <v>0</v>
      </c>
    </row>
    <row r="51" spans="1:9" ht="15.75" x14ac:dyDescent="0.25">
      <c r="A51" s="141" t="s">
        <v>148</v>
      </c>
      <c r="B51" s="319">
        <v>0</v>
      </c>
      <c r="C51" s="151">
        <v>0</v>
      </c>
      <c r="D51" s="272">
        <v>0</v>
      </c>
      <c r="E51" s="151">
        <v>0</v>
      </c>
    </row>
    <row r="52" spans="1:9" ht="15.75" x14ac:dyDescent="0.25">
      <c r="A52" s="141" t="s">
        <v>149</v>
      </c>
      <c r="B52" s="319">
        <v>0</v>
      </c>
      <c r="C52" s="151">
        <v>0</v>
      </c>
      <c r="D52" s="272">
        <v>0</v>
      </c>
      <c r="E52" s="151">
        <v>0</v>
      </c>
    </row>
    <row r="53" spans="1:9" ht="15.75" x14ac:dyDescent="0.25">
      <c r="A53" s="141" t="s">
        <v>150</v>
      </c>
      <c r="B53" s="319">
        <v>0</v>
      </c>
      <c r="C53" s="151">
        <v>0</v>
      </c>
      <c r="D53" s="272">
        <f>-3399174.81877/1000</f>
        <v>-3399.17481877</v>
      </c>
      <c r="E53" s="151">
        <v>-4439.6459999999997</v>
      </c>
    </row>
    <row r="54" spans="1:9" ht="15.75" x14ac:dyDescent="0.25">
      <c r="A54" s="141" t="s">
        <v>151</v>
      </c>
      <c r="B54" s="319">
        <v>0</v>
      </c>
      <c r="C54" s="151">
        <v>0</v>
      </c>
      <c r="D54" s="272">
        <v>0</v>
      </c>
      <c r="E54" s="151">
        <v>0</v>
      </c>
    </row>
    <row r="55" spans="1:9" ht="15.75" x14ac:dyDescent="0.25">
      <c r="A55" s="141" t="s">
        <v>152</v>
      </c>
      <c r="B55" s="319">
        <v>0</v>
      </c>
      <c r="C55" s="151">
        <v>0</v>
      </c>
      <c r="D55" s="272">
        <v>0</v>
      </c>
      <c r="E55" s="151">
        <v>0</v>
      </c>
    </row>
    <row r="56" spans="1:9" ht="15.75" x14ac:dyDescent="0.25">
      <c r="A56" s="141" t="s">
        <v>153</v>
      </c>
      <c r="B56" s="319">
        <v>0</v>
      </c>
      <c r="C56" s="151">
        <v>0</v>
      </c>
      <c r="D56" s="272">
        <v>0</v>
      </c>
      <c r="E56" s="151">
        <v>0</v>
      </c>
    </row>
    <row r="57" spans="1:9" ht="15.75" x14ac:dyDescent="0.25">
      <c r="A57" s="141" t="s">
        <v>143</v>
      </c>
      <c r="B57" s="324">
        <v>11564</v>
      </c>
      <c r="C57" s="151">
        <v>2155.9359800000002</v>
      </c>
      <c r="D57" s="272">
        <f>-6000000/1000</f>
        <v>-6000</v>
      </c>
      <c r="E57" s="151">
        <v>0</v>
      </c>
    </row>
    <row r="58" spans="1:9" ht="16.5" thickBot="1" x14ac:dyDescent="0.3">
      <c r="A58" s="139" t="s">
        <v>255</v>
      </c>
      <c r="B58" s="262">
        <f>SUM(B49:B57)</f>
        <v>11564</v>
      </c>
      <c r="C58" s="203">
        <v>2155.9359800000002</v>
      </c>
      <c r="D58" s="329">
        <f>SUM(D49:D57)</f>
        <v>72770.825181149994</v>
      </c>
      <c r="E58" s="203">
        <v>57795.025999999998</v>
      </c>
    </row>
    <row r="59" spans="1:9" ht="16.5" thickTop="1" x14ac:dyDescent="0.25">
      <c r="A59" s="139"/>
      <c r="B59" s="264"/>
      <c r="C59" s="204"/>
      <c r="D59" s="332"/>
      <c r="E59" s="204"/>
    </row>
    <row r="60" spans="1:9" ht="15.75" x14ac:dyDescent="0.25">
      <c r="A60" s="139" t="s">
        <v>154</v>
      </c>
      <c r="B60" s="263">
        <f>+B34+B46+B58</f>
        <v>17711.336306386875</v>
      </c>
      <c r="C60" s="202">
        <v>7328.0852109999996</v>
      </c>
      <c r="D60" s="331">
        <f>-68308420.9902459/1000</f>
        <v>-68308.420990245897</v>
      </c>
      <c r="E60" s="202">
        <v>43465.068244000009</v>
      </c>
    </row>
    <row r="61" spans="1:9" ht="15.75" x14ac:dyDescent="0.25">
      <c r="A61" s="141" t="s">
        <v>155</v>
      </c>
      <c r="B61" s="260">
        <f>8177873217.78/1000000</f>
        <v>8177.8732177799993</v>
      </c>
      <c r="C61" s="151">
        <v>851.08633699999996</v>
      </c>
      <c r="D61" s="272">
        <f>308914977.919078/1000</f>
        <v>308914.97791907797</v>
      </c>
      <c r="E61" s="151">
        <v>265449.908</v>
      </c>
    </row>
    <row r="62" spans="1:9" ht="15.75" x14ac:dyDescent="0.25">
      <c r="A62" s="141" t="s">
        <v>156</v>
      </c>
      <c r="B62" s="260">
        <f>175011213.4/1000000</f>
        <v>175.0112134</v>
      </c>
      <c r="C62" s="151">
        <v>0</v>
      </c>
      <c r="D62" s="272">
        <v>0</v>
      </c>
      <c r="E62" s="151">
        <v>0</v>
      </c>
      <c r="I62" s="134" t="s">
        <v>113</v>
      </c>
    </row>
    <row r="63" spans="1:9" ht="16.5" thickBot="1" x14ac:dyDescent="0.3">
      <c r="A63" s="139" t="s">
        <v>157</v>
      </c>
      <c r="B63" s="262">
        <f>SUM(B60:B62)</f>
        <v>26064.220737566873</v>
      </c>
      <c r="C63" s="203">
        <v>8179.1715479999993</v>
      </c>
      <c r="D63" s="329">
        <f>SUM(D60:D62)</f>
        <v>240606.55692883208</v>
      </c>
      <c r="E63" s="203">
        <v>308914.97624400002</v>
      </c>
    </row>
    <row r="64" spans="1:9" ht="15.75" thickTop="1" x14ac:dyDescent="0.25">
      <c r="C64" s="142"/>
    </row>
  </sheetData>
  <mergeCells count="6">
    <mergeCell ref="A4:E4"/>
    <mergeCell ref="B5:C5"/>
    <mergeCell ref="D5:E5"/>
    <mergeCell ref="A1:E1"/>
    <mergeCell ref="A2:E2"/>
    <mergeCell ref="A3:E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4" zoomScale="60" zoomScaleNormal="100" workbookViewId="0">
      <selection activeCell="D63" sqref="D63"/>
    </sheetView>
  </sheetViews>
  <sheetFormatPr defaultRowHeight="15.75" x14ac:dyDescent="0.25"/>
  <cols>
    <col min="1" max="1" width="62.140625" style="3" customWidth="1"/>
    <col min="2" max="3" width="12" style="3" customWidth="1"/>
    <col min="4" max="4" width="12" style="89" customWidth="1"/>
    <col min="5" max="5" width="12" style="3" customWidth="1"/>
    <col min="6" max="6" width="16.85546875" style="3" bestFit="1" customWidth="1"/>
    <col min="7" max="16384" width="9.140625" style="3"/>
  </cols>
  <sheetData>
    <row r="1" spans="1:5" x14ac:dyDescent="0.25">
      <c r="A1" s="407" t="s">
        <v>21</v>
      </c>
      <c r="B1" s="407"/>
      <c r="C1" s="407"/>
      <c r="D1" s="407"/>
      <c r="E1" s="407"/>
    </row>
    <row r="2" spans="1:5" x14ac:dyDescent="0.25">
      <c r="A2" s="407" t="s">
        <v>258</v>
      </c>
      <c r="B2" s="407"/>
      <c r="C2" s="407"/>
      <c r="D2" s="407"/>
      <c r="E2" s="407"/>
    </row>
    <row r="3" spans="1:5" x14ac:dyDescent="0.25">
      <c r="A3" s="407" t="s">
        <v>356</v>
      </c>
      <c r="B3" s="407"/>
      <c r="C3" s="407"/>
      <c r="D3" s="407"/>
      <c r="E3" s="407"/>
    </row>
    <row r="4" spans="1:5" ht="8.25" customHeight="1" x14ac:dyDescent="0.25">
      <c r="A4" s="27"/>
      <c r="B4" s="27"/>
      <c r="C4" s="27"/>
      <c r="E4" s="27"/>
    </row>
    <row r="5" spans="1:5" x14ac:dyDescent="0.25">
      <c r="A5" s="409" t="s">
        <v>162</v>
      </c>
      <c r="B5" s="408" t="s">
        <v>16</v>
      </c>
      <c r="C5" s="408"/>
      <c r="D5" s="395" t="s">
        <v>25</v>
      </c>
      <c r="E5" s="395"/>
    </row>
    <row r="6" spans="1:5" x14ac:dyDescent="0.25">
      <c r="A6" s="410"/>
      <c r="B6" s="198" t="s">
        <v>361</v>
      </c>
      <c r="C6" s="244" t="s">
        <v>330</v>
      </c>
      <c r="D6" s="244" t="s">
        <v>361</v>
      </c>
      <c r="E6" s="244" t="s">
        <v>330</v>
      </c>
    </row>
    <row r="7" spans="1:5" ht="45.75" customHeight="1" x14ac:dyDescent="0.25">
      <c r="A7" s="411"/>
      <c r="B7" s="128" t="s">
        <v>158</v>
      </c>
      <c r="C7" s="128" t="s">
        <v>158</v>
      </c>
      <c r="D7" s="128" t="s">
        <v>335</v>
      </c>
      <c r="E7" s="128" t="s">
        <v>125</v>
      </c>
    </row>
    <row r="8" spans="1:5" x14ac:dyDescent="0.25">
      <c r="A8" s="22" t="s">
        <v>259</v>
      </c>
      <c r="B8" s="265"/>
      <c r="C8" s="128"/>
      <c r="D8" s="265"/>
      <c r="E8" s="128"/>
    </row>
    <row r="9" spans="1:5" x14ac:dyDescent="0.25">
      <c r="A9" s="23" t="s">
        <v>260</v>
      </c>
      <c r="B9" s="268">
        <f>10088480/1000</f>
        <v>10088.48</v>
      </c>
      <c r="C9" s="83">
        <v>9371.0930000000008</v>
      </c>
      <c r="D9" s="334">
        <v>93294</v>
      </c>
      <c r="E9" s="243">
        <v>95863.099999999991</v>
      </c>
    </row>
    <row r="10" spans="1:5" x14ac:dyDescent="0.25">
      <c r="A10" s="23" t="s">
        <v>261</v>
      </c>
      <c r="B10" s="268">
        <f>10088480/1000</f>
        <v>10088.48</v>
      </c>
      <c r="C10" s="83">
        <v>9371.0930000000008</v>
      </c>
      <c r="D10" s="334">
        <v>93294</v>
      </c>
      <c r="E10" s="92">
        <v>96263</v>
      </c>
    </row>
    <row r="11" spans="1:5" x14ac:dyDescent="0.25">
      <c r="A11" s="23" t="s">
        <v>262</v>
      </c>
      <c r="B11" s="268">
        <f>10185033/1000</f>
        <v>10185.032999999999</v>
      </c>
      <c r="C11" s="83">
        <v>9471.4359999999997</v>
      </c>
      <c r="D11" s="268">
        <v>121813</v>
      </c>
      <c r="E11" s="92">
        <v>125156</v>
      </c>
    </row>
    <row r="12" spans="1:5" x14ac:dyDescent="0.25">
      <c r="A12" s="23"/>
      <c r="B12" s="268"/>
      <c r="C12" s="83"/>
      <c r="D12" s="268"/>
      <c r="E12" s="92"/>
    </row>
    <row r="13" spans="1:5" x14ac:dyDescent="0.25">
      <c r="A13" s="22" t="s">
        <v>263</v>
      </c>
      <c r="B13" s="268"/>
      <c r="C13" s="83"/>
      <c r="D13" s="268"/>
      <c r="E13" s="92"/>
    </row>
    <row r="14" spans="1:5" x14ac:dyDescent="0.25">
      <c r="A14" s="23" t="s">
        <v>325</v>
      </c>
      <c r="B14" s="269">
        <v>0.49974000000000002</v>
      </c>
      <c r="C14" s="82" t="s">
        <v>327</v>
      </c>
      <c r="D14" s="269">
        <v>8.2100000000000006E-2</v>
      </c>
      <c r="E14" s="133">
        <v>7.8200000000000006E-2</v>
      </c>
    </row>
    <row r="15" spans="1:5" x14ac:dyDescent="0.25">
      <c r="A15" s="23" t="s">
        <v>324</v>
      </c>
      <c r="B15" s="269">
        <v>0.49974000000000002</v>
      </c>
      <c r="C15" s="82" t="s">
        <v>327</v>
      </c>
      <c r="D15" s="269">
        <v>8.2100000000000006E-2</v>
      </c>
      <c r="E15" s="133">
        <v>7.8200000000000006E-2</v>
      </c>
    </row>
    <row r="16" spans="1:5" x14ac:dyDescent="0.25">
      <c r="A16" s="23" t="s">
        <v>326</v>
      </c>
      <c r="B16" s="269">
        <v>0.50453000000000003</v>
      </c>
      <c r="C16" s="82" t="s">
        <v>328</v>
      </c>
      <c r="D16" s="271" t="s">
        <v>363</v>
      </c>
      <c r="E16" s="91" t="s">
        <v>337</v>
      </c>
    </row>
    <row r="17" spans="1:8" x14ac:dyDescent="0.25">
      <c r="A17" s="23"/>
      <c r="B17" s="269"/>
      <c r="C17" s="99"/>
      <c r="D17" s="269"/>
      <c r="E17" s="133"/>
      <c r="H17" s="267"/>
    </row>
    <row r="18" spans="1:8" x14ac:dyDescent="0.25">
      <c r="A18" s="139" t="s">
        <v>340</v>
      </c>
      <c r="B18" s="269">
        <v>0.20745249207876554</v>
      </c>
      <c r="C18" s="133">
        <v>0.28820000000000001</v>
      </c>
      <c r="D18" s="269">
        <v>3.5200000000000002E-2</v>
      </c>
      <c r="E18" s="133">
        <v>3.8899999999999997E-2</v>
      </c>
    </row>
    <row r="19" spans="1:8" x14ac:dyDescent="0.25">
      <c r="A19" s="23"/>
      <c r="B19" s="270"/>
      <c r="C19" s="131"/>
      <c r="D19" s="271"/>
      <c r="E19" s="91"/>
    </row>
    <row r="20" spans="1:8" x14ac:dyDescent="0.25">
      <c r="A20" s="22" t="s">
        <v>94</v>
      </c>
      <c r="B20" s="271"/>
      <c r="C20" s="82"/>
      <c r="D20" s="271"/>
      <c r="E20" s="91"/>
      <c r="F20" s="266"/>
      <c r="G20" s="266"/>
    </row>
    <row r="21" spans="1:8" x14ac:dyDescent="0.25">
      <c r="A21" s="23" t="s">
        <v>95</v>
      </c>
      <c r="B21" s="268">
        <f>(14671667+123411*189.5)/1000</f>
        <v>38058.051500000001</v>
      </c>
      <c r="C21" s="92">
        <v>26784.820449999999</v>
      </c>
      <c r="D21" s="268">
        <v>726468</v>
      </c>
      <c r="E21" s="92">
        <v>609775</v>
      </c>
    </row>
    <row r="22" spans="1:8" x14ac:dyDescent="0.25">
      <c r="A22" s="23" t="s">
        <v>329</v>
      </c>
      <c r="B22" s="268"/>
      <c r="C22" s="83"/>
      <c r="D22" s="268"/>
      <c r="E22" s="92"/>
    </row>
    <row r="23" spans="1:8" x14ac:dyDescent="0.25">
      <c r="A23" s="23" t="s">
        <v>96</v>
      </c>
      <c r="B23" s="269">
        <v>1.0753886548418543</v>
      </c>
      <c r="C23" s="99">
        <v>1.0379</v>
      </c>
      <c r="D23" s="412" t="s">
        <v>365</v>
      </c>
      <c r="E23" s="414" t="s">
        <v>345</v>
      </c>
    </row>
    <row r="24" spans="1:8" x14ac:dyDescent="0.25">
      <c r="A24" s="23" t="s">
        <v>97</v>
      </c>
      <c r="B24" s="269">
        <v>0.94629863851494167</v>
      </c>
      <c r="C24" s="99">
        <v>0.73780000000000001</v>
      </c>
      <c r="D24" s="413"/>
      <c r="E24" s="415"/>
    </row>
    <row r="25" spans="1:8" x14ac:dyDescent="0.25">
      <c r="A25" s="23"/>
      <c r="B25" s="269"/>
      <c r="C25" s="99"/>
      <c r="D25" s="271"/>
      <c r="E25" s="91"/>
    </row>
    <row r="26" spans="1:8" x14ac:dyDescent="0.25">
      <c r="A26" s="23" t="s">
        <v>331</v>
      </c>
      <c r="B26" s="272">
        <f>3299890/1000</f>
        <v>3299.89</v>
      </c>
      <c r="C26" s="218">
        <v>3313.4879999999998</v>
      </c>
      <c r="D26" s="272">
        <v>533812</v>
      </c>
      <c r="E26" s="151">
        <v>422525.37</v>
      </c>
    </row>
    <row r="27" spans="1:8" x14ac:dyDescent="0.25">
      <c r="A27" s="23" t="s">
        <v>332</v>
      </c>
      <c r="B27" s="269"/>
      <c r="C27" s="99"/>
      <c r="D27" s="271"/>
      <c r="E27" s="91"/>
    </row>
    <row r="28" spans="1:8" x14ac:dyDescent="0.25">
      <c r="A28" s="23" t="s">
        <v>333</v>
      </c>
      <c r="B28" s="269">
        <v>72.319999999999993</v>
      </c>
      <c r="C28" s="99">
        <v>191.80240000000001</v>
      </c>
      <c r="D28" s="271"/>
      <c r="E28" s="91"/>
    </row>
    <row r="29" spans="1:8" x14ac:dyDescent="0.25">
      <c r="A29" s="23" t="s">
        <v>334</v>
      </c>
      <c r="B29" s="269">
        <v>6.2203999999999997</v>
      </c>
      <c r="C29" s="99">
        <v>12.6531</v>
      </c>
      <c r="D29" s="271" t="s">
        <v>362</v>
      </c>
      <c r="E29" s="91" t="s">
        <v>346</v>
      </c>
    </row>
    <row r="30" spans="1:8" x14ac:dyDescent="0.25">
      <c r="A30" s="23"/>
      <c r="B30" s="269"/>
      <c r="C30" s="99"/>
      <c r="D30" s="271"/>
      <c r="E30" s="91"/>
    </row>
    <row r="31" spans="1:8" x14ac:dyDescent="0.25">
      <c r="A31" s="23" t="s">
        <v>341</v>
      </c>
      <c r="B31" s="269">
        <v>5.6806000000000001</v>
      </c>
      <c r="C31" s="99">
        <v>5.03</v>
      </c>
      <c r="D31" s="336" t="s">
        <v>336</v>
      </c>
      <c r="E31" s="233" t="s">
        <v>336</v>
      </c>
    </row>
    <row r="32" spans="1:8" x14ac:dyDescent="0.25">
      <c r="A32" s="23"/>
      <c r="B32" s="269"/>
      <c r="C32" s="99"/>
      <c r="D32" s="271"/>
      <c r="E32" s="91"/>
    </row>
    <row r="33" spans="1:5" x14ac:dyDescent="0.25">
      <c r="A33" s="22" t="s">
        <v>92</v>
      </c>
      <c r="B33" s="271"/>
      <c r="C33" s="91"/>
      <c r="D33" s="271"/>
      <c r="E33" s="91"/>
    </row>
    <row r="34" spans="1:5" x14ac:dyDescent="0.25">
      <c r="A34" s="23" t="s">
        <v>264</v>
      </c>
      <c r="B34" s="273">
        <v>7.2967929887493344E-2</v>
      </c>
      <c r="C34" s="172">
        <v>1.5900000000000001E-2</v>
      </c>
      <c r="D34" s="269">
        <v>0.14779999999999999</v>
      </c>
      <c r="E34" s="133">
        <v>0.21970000000000001</v>
      </c>
    </row>
    <row r="35" spans="1:5" x14ac:dyDescent="0.25">
      <c r="A35" s="23" t="s">
        <v>265</v>
      </c>
      <c r="B35" s="273">
        <v>5.1779365210133592E-2</v>
      </c>
      <c r="C35" s="172">
        <v>5.5999999999999999E-3</v>
      </c>
      <c r="D35" s="335">
        <v>5.4399999999999997E-2</v>
      </c>
      <c r="E35" s="144">
        <v>0.1081</v>
      </c>
    </row>
    <row r="36" spans="1:5" x14ac:dyDescent="0.25">
      <c r="A36" s="23"/>
      <c r="B36" s="271"/>
      <c r="C36" s="91"/>
      <c r="D36" s="271"/>
      <c r="E36" s="91"/>
    </row>
    <row r="37" spans="1:5" x14ac:dyDescent="0.25">
      <c r="A37" s="22" t="s">
        <v>93</v>
      </c>
      <c r="B37" s="271"/>
      <c r="C37" s="91"/>
      <c r="D37" s="271"/>
      <c r="E37" s="91"/>
    </row>
    <row r="38" spans="1:5" x14ac:dyDescent="0.25">
      <c r="A38" s="23" t="s">
        <v>268</v>
      </c>
      <c r="B38" s="269">
        <v>3.1783744401412226E-2</v>
      </c>
      <c r="C38" s="133">
        <v>3.4099999999999998E-2</v>
      </c>
      <c r="D38" s="269">
        <v>2.3E-2</v>
      </c>
      <c r="E38" s="133">
        <v>2.0799999999999999E-2</v>
      </c>
    </row>
    <row r="39" spans="1:5" x14ac:dyDescent="0.25">
      <c r="A39" s="23" t="s">
        <v>266</v>
      </c>
      <c r="B39" s="269">
        <v>2.3610788643178737E-2</v>
      </c>
      <c r="C39" s="133">
        <v>1.8700000000000001E-2</v>
      </c>
      <c r="D39" s="271"/>
      <c r="E39" s="91"/>
    </row>
    <row r="40" spans="1:5" x14ac:dyDescent="0.25">
      <c r="A40" s="23" t="s">
        <v>267</v>
      </c>
      <c r="B40" s="269">
        <v>0.1003</v>
      </c>
      <c r="C40" s="133">
        <v>6.7299999999999999E-2</v>
      </c>
      <c r="D40" s="271"/>
      <c r="E40" s="91"/>
    </row>
    <row r="41" spans="1:5" ht="15.75" customHeight="1" x14ac:dyDescent="0.25">
      <c r="A41" s="18"/>
      <c r="B41" s="4"/>
      <c r="C41" s="4"/>
      <c r="D41" s="148"/>
      <c r="E41" s="4"/>
    </row>
    <row r="42" spans="1:5" hidden="1" x14ac:dyDescent="0.25">
      <c r="A42" s="100" t="s">
        <v>127</v>
      </c>
      <c r="B42" s="101"/>
      <c r="C42" s="101"/>
      <c r="D42" s="152"/>
      <c r="E42" s="102"/>
    </row>
    <row r="43" spans="1:5" hidden="1" x14ac:dyDescent="0.25">
      <c r="A43" s="100"/>
      <c r="B43" s="101"/>
      <c r="C43" s="101"/>
      <c r="D43" s="152"/>
      <c r="E43" s="102"/>
    </row>
    <row r="44" spans="1:5" ht="126.75" hidden="1" customHeight="1" x14ac:dyDescent="0.25">
      <c r="A44" s="403" t="s">
        <v>159</v>
      </c>
      <c r="B44" s="403"/>
      <c r="C44" s="403"/>
      <c r="D44" s="403"/>
      <c r="E44" s="403"/>
    </row>
    <row r="45" spans="1:5" hidden="1" x14ac:dyDescent="0.25">
      <c r="A45" s="96"/>
      <c r="B45" s="96"/>
      <c r="C45" s="96"/>
      <c r="D45" s="153"/>
      <c r="E45" s="96"/>
    </row>
    <row r="46" spans="1:5" hidden="1" x14ac:dyDescent="0.25">
      <c r="A46" s="18" t="s">
        <v>128</v>
      </c>
      <c r="B46" s="4"/>
      <c r="C46" s="4"/>
      <c r="D46" s="148"/>
      <c r="E46" s="4"/>
    </row>
    <row r="47" spans="1:5" hidden="1" x14ac:dyDescent="0.25">
      <c r="A47" s="18"/>
      <c r="B47" s="4"/>
      <c r="C47" s="4"/>
      <c r="D47" s="148"/>
      <c r="E47" s="4"/>
    </row>
    <row r="48" spans="1:5" ht="192.75" hidden="1" customHeight="1" x14ac:dyDescent="0.25">
      <c r="A48" s="402" t="s">
        <v>169</v>
      </c>
      <c r="B48" s="402"/>
      <c r="C48" s="402"/>
      <c r="D48" s="402"/>
      <c r="E48" s="402"/>
    </row>
    <row r="49" spans="1:5" hidden="1" x14ac:dyDescent="0.25">
      <c r="A49" s="95"/>
      <c r="B49" s="96"/>
      <c r="C49" s="96"/>
      <c r="D49" s="153"/>
      <c r="E49" s="96"/>
    </row>
    <row r="50" spans="1:5" x14ac:dyDescent="0.25">
      <c r="A50" s="100" t="s">
        <v>127</v>
      </c>
      <c r="B50" s="101"/>
      <c r="C50" s="101"/>
      <c r="D50" s="102"/>
      <c r="E50" s="102"/>
    </row>
    <row r="51" spans="1:5" ht="123" customHeight="1" x14ac:dyDescent="0.25">
      <c r="A51" s="403" t="s">
        <v>366</v>
      </c>
      <c r="B51" s="403"/>
      <c r="C51" s="403"/>
      <c r="D51" s="403"/>
      <c r="E51" s="403"/>
    </row>
    <row r="52" spans="1:5" ht="20.25" customHeight="1" x14ac:dyDescent="0.25"/>
    <row r="53" spans="1:5" ht="9" customHeight="1" x14ac:dyDescent="0.25">
      <c r="A53" s="277"/>
      <c r="B53" s="277"/>
      <c r="C53" s="277"/>
      <c r="D53" s="277"/>
      <c r="E53" s="277"/>
    </row>
    <row r="54" spans="1:5" x14ac:dyDescent="0.25">
      <c r="A54" s="18" t="s">
        <v>128</v>
      </c>
      <c r="B54" s="4"/>
      <c r="C54" s="4"/>
      <c r="D54" s="4"/>
      <c r="E54" s="4"/>
    </row>
    <row r="55" spans="1:5" x14ac:dyDescent="0.25">
      <c r="A55" s="18"/>
      <c r="B55" s="4"/>
      <c r="C55" s="4"/>
      <c r="D55" s="4"/>
      <c r="E55" s="4"/>
    </row>
    <row r="56" spans="1:5" ht="178.5" customHeight="1" x14ac:dyDescent="0.25">
      <c r="A56" s="402" t="s">
        <v>367</v>
      </c>
      <c r="B56" s="402"/>
      <c r="C56" s="402"/>
      <c r="D56" s="402"/>
      <c r="E56" s="402"/>
    </row>
    <row r="57" spans="1:5" x14ac:dyDescent="0.25">
      <c r="A57" s="276"/>
      <c r="B57" s="277"/>
      <c r="C57" s="277"/>
      <c r="D57" s="277"/>
      <c r="E57" s="277"/>
    </row>
    <row r="58" spans="1:5" ht="15" customHeight="1" x14ac:dyDescent="0.25">
      <c r="A58" s="18" t="s">
        <v>115</v>
      </c>
      <c r="B58" s="13"/>
      <c r="C58" s="13"/>
      <c r="D58" s="154"/>
      <c r="E58" s="13"/>
    </row>
    <row r="59" spans="1:5" ht="81.75" customHeight="1" x14ac:dyDescent="0.25">
      <c r="A59" s="403" t="s">
        <v>130</v>
      </c>
      <c r="B59" s="404"/>
      <c r="C59" s="404"/>
      <c r="D59" s="404"/>
      <c r="E59" s="404"/>
    </row>
    <row r="60" spans="1:5" ht="31.5" customHeight="1" x14ac:dyDescent="0.25">
      <c r="A60" s="402" t="s">
        <v>342</v>
      </c>
      <c r="B60" s="406"/>
      <c r="C60" s="406"/>
      <c r="D60" s="406"/>
      <c r="E60" s="406"/>
    </row>
    <row r="61" spans="1:5" x14ac:dyDescent="0.25">
      <c r="A61" s="95"/>
      <c r="B61" s="96"/>
      <c r="C61" s="96"/>
      <c r="D61" s="153"/>
      <c r="E61" s="96"/>
    </row>
    <row r="62" spans="1:5" x14ac:dyDescent="0.25">
      <c r="A62" s="95"/>
      <c r="B62" s="96"/>
      <c r="C62" s="96"/>
      <c r="D62" s="153"/>
      <c r="E62" s="96"/>
    </row>
    <row r="63" spans="1:5" x14ac:dyDescent="0.25">
      <c r="A63" s="95"/>
      <c r="B63" s="96"/>
      <c r="C63" s="96"/>
      <c r="D63" s="153"/>
      <c r="E63" s="96"/>
    </row>
    <row r="64" spans="1:5" x14ac:dyDescent="0.25">
      <c r="A64" s="2" t="s">
        <v>167</v>
      </c>
      <c r="B64" s="21"/>
      <c r="C64" s="21"/>
      <c r="D64" s="405" t="s">
        <v>131</v>
      </c>
      <c r="E64" s="405"/>
    </row>
    <row r="65" spans="1:4" x14ac:dyDescent="0.25">
      <c r="A65" s="3" t="s">
        <v>168</v>
      </c>
      <c r="B65" s="2"/>
      <c r="D65" s="89" t="s">
        <v>129</v>
      </c>
    </row>
    <row r="66" spans="1:4" s="339" customFormat="1" x14ac:dyDescent="0.25">
      <c r="A66" s="338" t="s">
        <v>364</v>
      </c>
      <c r="D66" s="338" t="s">
        <v>364</v>
      </c>
    </row>
  </sheetData>
  <mergeCells count="15">
    <mergeCell ref="A48:E48"/>
    <mergeCell ref="A59:E59"/>
    <mergeCell ref="D64:E64"/>
    <mergeCell ref="A60:E60"/>
    <mergeCell ref="A1:E1"/>
    <mergeCell ref="A2:E2"/>
    <mergeCell ref="A3:E3"/>
    <mergeCell ref="A44:E44"/>
    <mergeCell ref="B5:C5"/>
    <mergeCell ref="D5:E5"/>
    <mergeCell ref="A5:A7"/>
    <mergeCell ref="D23:D24"/>
    <mergeCell ref="E23:E24"/>
    <mergeCell ref="A51:E51"/>
    <mergeCell ref="A56:E56"/>
  </mergeCells>
  <phoneticPr fontId="0" type="noConversion"/>
  <pageMargins left="0.39" right="0.17" top="0.53" bottom="0.56999999999999995" header="0.3" footer="0.3"/>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zoomScaleNormal="100" zoomScaleSheetLayoutView="100" workbookViewId="0">
      <selection activeCell="G28" sqref="G2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343" t="s">
        <v>21</v>
      </c>
      <c r="B1" s="344"/>
      <c r="C1" s="344"/>
      <c r="D1" s="344"/>
      <c r="E1" s="344"/>
      <c r="F1" s="173"/>
      <c r="G1" s="173"/>
      <c r="H1" s="173"/>
      <c r="I1" s="173"/>
      <c r="J1" s="4"/>
    </row>
    <row r="2" spans="1:10" x14ac:dyDescent="0.25">
      <c r="A2" s="346" t="s">
        <v>114</v>
      </c>
      <c r="B2" s="347"/>
      <c r="C2" s="347"/>
      <c r="D2" s="347"/>
      <c r="E2" s="347"/>
      <c r="F2" s="56"/>
      <c r="G2" s="56"/>
      <c r="H2" s="56"/>
      <c r="I2" s="56"/>
      <c r="J2" s="4"/>
    </row>
    <row r="3" spans="1:10" x14ac:dyDescent="0.25">
      <c r="A3" s="346" t="s">
        <v>323</v>
      </c>
      <c r="B3" s="347"/>
      <c r="C3" s="347"/>
      <c r="D3" s="347"/>
      <c r="E3" s="347"/>
      <c r="F3" s="56"/>
      <c r="G3" s="56"/>
      <c r="H3" s="56"/>
      <c r="I3" s="56"/>
    </row>
    <row r="4" spans="1:10" x14ac:dyDescent="0.25">
      <c r="A4" s="174"/>
      <c r="B4" s="56"/>
      <c r="C4" s="56"/>
      <c r="D4" s="56"/>
      <c r="E4" s="56"/>
      <c r="F4" s="56"/>
      <c r="G4" s="56"/>
      <c r="H4" s="56"/>
      <c r="I4" s="56"/>
      <c r="J4" s="4"/>
    </row>
    <row r="5" spans="1:10" s="89" customFormat="1" x14ac:dyDescent="0.25">
      <c r="A5" s="179" t="s">
        <v>84</v>
      </c>
      <c r="B5" s="179"/>
      <c r="C5" s="179"/>
      <c r="D5" s="179"/>
      <c r="E5" s="179"/>
    </row>
    <row r="6" spans="1:10" x14ac:dyDescent="0.25">
      <c r="A6" s="68" t="s">
        <v>188</v>
      </c>
      <c r="B6" s="65" t="s">
        <v>272</v>
      </c>
      <c r="C6" s="65" t="s">
        <v>273</v>
      </c>
      <c r="D6" s="65" t="s">
        <v>274</v>
      </c>
      <c r="E6" s="65" t="s">
        <v>82</v>
      </c>
      <c r="I6" s="4"/>
    </row>
    <row r="7" spans="1:10" x14ac:dyDescent="0.25">
      <c r="A7" s="69"/>
      <c r="B7" s="67"/>
      <c r="C7" s="67"/>
      <c r="D7" s="67"/>
      <c r="E7" s="67"/>
      <c r="I7" s="4"/>
    </row>
    <row r="8" spans="1:10" x14ac:dyDescent="0.25">
      <c r="A8" s="22" t="s">
        <v>85</v>
      </c>
      <c r="B8" s="23"/>
      <c r="C8" s="23"/>
      <c r="D8" s="23"/>
      <c r="E8" s="23"/>
      <c r="H8" s="4"/>
    </row>
    <row r="9" spans="1:10" x14ac:dyDescent="0.25">
      <c r="A9" s="23" t="s">
        <v>86</v>
      </c>
      <c r="B9" s="25">
        <f>8175029488/1000000</f>
        <v>8175.0294880000001</v>
      </c>
      <c r="C9" s="25">
        <v>0</v>
      </c>
      <c r="D9" s="25">
        <v>0</v>
      </c>
      <c r="E9" s="25">
        <f t="shared" ref="E9:E16" si="0">SUM(B9:D9)</f>
        <v>8175.0294880000001</v>
      </c>
    </row>
    <row r="10" spans="1:10" x14ac:dyDescent="0.25">
      <c r="A10" s="23" t="s">
        <v>27</v>
      </c>
      <c r="B10" s="25">
        <f>157150506/1000000</f>
        <v>157.15050600000001</v>
      </c>
      <c r="C10" s="25">
        <v>0</v>
      </c>
      <c r="D10" s="25">
        <v>0</v>
      </c>
      <c r="E10" s="25">
        <f t="shared" si="0"/>
        <v>157.15050600000001</v>
      </c>
    </row>
    <row r="11" spans="1:10" x14ac:dyDescent="0.25">
      <c r="A11" s="23" t="s">
        <v>28</v>
      </c>
      <c r="B11" s="25">
        <v>0</v>
      </c>
      <c r="C11" s="25">
        <v>0</v>
      </c>
      <c r="D11" s="25">
        <v>0</v>
      </c>
      <c r="E11" s="25">
        <f t="shared" si="0"/>
        <v>0</v>
      </c>
    </row>
    <row r="12" spans="1:10" x14ac:dyDescent="0.25">
      <c r="A12" s="23" t="s">
        <v>29</v>
      </c>
      <c r="B12" s="25">
        <v>0</v>
      </c>
      <c r="C12" s="25">
        <v>0</v>
      </c>
      <c r="D12" s="25">
        <v>0</v>
      </c>
      <c r="E12" s="25">
        <f t="shared" si="0"/>
        <v>0</v>
      </c>
    </row>
    <row r="13" spans="1:10" x14ac:dyDescent="0.25">
      <c r="A13" s="23" t="s">
        <v>269</v>
      </c>
      <c r="B13" s="25">
        <f>7993868140/1000000</f>
        <v>7993.8681399999996</v>
      </c>
      <c r="C13" s="25">
        <v>0</v>
      </c>
      <c r="D13" s="25">
        <v>0</v>
      </c>
      <c r="E13" s="25">
        <f t="shared" si="0"/>
        <v>7993.8681399999996</v>
      </c>
    </row>
    <row r="14" spans="1:10" x14ac:dyDescent="0.25">
      <c r="A14" s="23" t="s">
        <v>270</v>
      </c>
      <c r="B14" s="25">
        <f>15308791897/1000000</f>
        <v>15308.791896999999</v>
      </c>
      <c r="C14" s="25">
        <v>0</v>
      </c>
      <c r="D14" s="25">
        <v>0</v>
      </c>
      <c r="E14" s="25">
        <f t="shared" si="0"/>
        <v>15308.791896999999</v>
      </c>
    </row>
    <row r="15" spans="1:10" x14ac:dyDescent="0.25">
      <c r="A15" s="23" t="s">
        <v>271</v>
      </c>
      <c r="B15" s="25">
        <v>0</v>
      </c>
      <c r="C15" s="25">
        <v>0</v>
      </c>
      <c r="D15" s="25">
        <f>2040001/1000000</f>
        <v>2.0400010000000002</v>
      </c>
      <c r="E15" s="25">
        <f t="shared" si="0"/>
        <v>2.0400010000000002</v>
      </c>
    </row>
    <row r="16" spans="1:10" x14ac:dyDescent="0.25">
      <c r="A16" s="23" t="s">
        <v>196</v>
      </c>
      <c r="B16" s="25">
        <v>0</v>
      </c>
      <c r="C16" s="25">
        <v>0</v>
      </c>
      <c r="D16" s="25">
        <v>0</v>
      </c>
      <c r="E16" s="25">
        <f t="shared" si="0"/>
        <v>0</v>
      </c>
    </row>
    <row r="17" spans="1:11" s="2" customFormat="1" x14ac:dyDescent="0.25">
      <c r="A17" s="22" t="s">
        <v>87</v>
      </c>
      <c r="B17" s="26">
        <f>SUM(B9:B16)</f>
        <v>31634.840031</v>
      </c>
      <c r="C17" s="26">
        <f>SUM(C9:C16)</f>
        <v>0</v>
      </c>
      <c r="D17" s="26">
        <f>SUM(D9:D16)</f>
        <v>2.0400010000000002</v>
      </c>
      <c r="E17" s="26">
        <f>SUM(E9:E16)</f>
        <v>31636.880032000001</v>
      </c>
    </row>
    <row r="18" spans="1:11" x14ac:dyDescent="0.25">
      <c r="A18" s="78"/>
      <c r="B18" s="79"/>
      <c r="C18" s="79"/>
      <c r="D18" s="79"/>
      <c r="E18" s="79"/>
      <c r="F18" s="79"/>
      <c r="G18" s="79"/>
      <c r="H18" s="79"/>
      <c r="I18" s="79"/>
      <c r="J18" s="4"/>
    </row>
    <row r="19" spans="1:11" x14ac:dyDescent="0.25">
      <c r="A19" s="68" t="s">
        <v>188</v>
      </c>
      <c r="B19" s="65" t="s">
        <v>272</v>
      </c>
      <c r="C19" s="65" t="s">
        <v>273</v>
      </c>
      <c r="D19" s="65" t="s">
        <v>82</v>
      </c>
    </row>
    <row r="20" spans="1:11" x14ac:dyDescent="0.25">
      <c r="A20" s="69"/>
      <c r="B20" s="67"/>
      <c r="C20" s="67"/>
      <c r="D20" s="67"/>
    </row>
    <row r="21" spans="1:11" x14ac:dyDescent="0.25">
      <c r="A21" s="22" t="s">
        <v>88</v>
      </c>
      <c r="B21" s="53"/>
      <c r="C21" s="23"/>
      <c r="D21" s="23"/>
    </row>
    <row r="22" spans="1:11" x14ac:dyDescent="0.25">
      <c r="A22" s="23" t="s">
        <v>37</v>
      </c>
      <c r="B22" s="80">
        <f>19357350253/1000000</f>
        <v>19357.350253000001</v>
      </c>
      <c r="C22" s="25">
        <v>0</v>
      </c>
      <c r="D22" s="25">
        <f t="shared" ref="D22:D29" si="1">SUM(B22:C22)</f>
        <v>19357.350253000001</v>
      </c>
    </row>
    <row r="23" spans="1:11" x14ac:dyDescent="0.25">
      <c r="A23" s="23" t="s">
        <v>29</v>
      </c>
      <c r="B23" s="80">
        <v>0</v>
      </c>
      <c r="C23" s="25">
        <v>0</v>
      </c>
      <c r="D23" s="25">
        <f t="shared" si="1"/>
        <v>0</v>
      </c>
      <c r="K23" s="4"/>
    </row>
    <row r="24" spans="1:11" x14ac:dyDescent="0.25">
      <c r="A24" s="23" t="s">
        <v>279</v>
      </c>
      <c r="B24" s="80"/>
      <c r="C24" s="25"/>
      <c r="D24" s="25"/>
    </row>
    <row r="25" spans="1:11" x14ac:dyDescent="0.25">
      <c r="A25" s="23" t="s">
        <v>280</v>
      </c>
      <c r="B25" s="80">
        <f>2785417592/1000000</f>
        <v>2785.4175919999998</v>
      </c>
      <c r="C25" s="25">
        <v>0</v>
      </c>
      <c r="D25" s="25">
        <f t="shared" si="1"/>
        <v>2785.4175919999998</v>
      </c>
    </row>
    <row r="26" spans="1:11" x14ac:dyDescent="0.25">
      <c r="A26" s="23" t="s">
        <v>281</v>
      </c>
      <c r="B26" s="80">
        <f>+'FINANCIAL POSITION'!B39</f>
        <v>0</v>
      </c>
      <c r="C26" s="25">
        <v>0</v>
      </c>
      <c r="D26" s="25">
        <f t="shared" si="1"/>
        <v>0</v>
      </c>
    </row>
    <row r="27" spans="1:11" x14ac:dyDescent="0.25">
      <c r="A27" s="23" t="s">
        <v>282</v>
      </c>
      <c r="B27" s="80">
        <v>0</v>
      </c>
      <c r="C27" s="25">
        <v>0</v>
      </c>
      <c r="D27" s="25">
        <f t="shared" si="1"/>
        <v>0</v>
      </c>
    </row>
    <row r="28" spans="1:11" x14ac:dyDescent="0.25">
      <c r="A28" s="23" t="s">
        <v>89</v>
      </c>
      <c r="B28" s="80">
        <v>0</v>
      </c>
      <c r="C28" s="25">
        <v>0</v>
      </c>
      <c r="D28" s="25">
        <f t="shared" si="1"/>
        <v>0</v>
      </c>
    </row>
    <row r="29" spans="1:11" x14ac:dyDescent="0.25">
      <c r="A29" s="22" t="s">
        <v>90</v>
      </c>
      <c r="B29" s="81">
        <f>SUM(B22:B28)</f>
        <v>22142.767845000002</v>
      </c>
      <c r="C29" s="81">
        <f t="shared" ref="C29" si="2">SUM(C22:C28)</f>
        <v>0</v>
      </c>
      <c r="D29" s="26">
        <f t="shared" si="1"/>
        <v>22142.767845000002</v>
      </c>
    </row>
    <row r="30" spans="1:11" s="27" customFormat="1" x14ac:dyDescent="0.25">
      <c r="A30" s="45" t="s">
        <v>277</v>
      </c>
      <c r="B30" s="52"/>
      <c r="C30" s="52"/>
      <c r="D30" s="52"/>
      <c r="E30" s="52"/>
      <c r="F30" s="52"/>
      <c r="G30" s="52"/>
      <c r="H30" s="52"/>
      <c r="I30" s="52"/>
    </row>
    <row r="31" spans="1:11" s="27" customFormat="1" x14ac:dyDescent="0.25">
      <c r="A31" s="45" t="s">
        <v>276</v>
      </c>
      <c r="B31" s="52"/>
      <c r="C31" s="52"/>
      <c r="D31" s="52"/>
      <c r="E31" s="52"/>
      <c r="F31" s="52"/>
      <c r="G31" s="52"/>
      <c r="H31" s="52"/>
      <c r="I31" s="52"/>
    </row>
    <row r="32" spans="1:11" s="27" customFormat="1" x14ac:dyDescent="0.25">
      <c r="A32" s="45" t="s">
        <v>275</v>
      </c>
      <c r="B32" s="52"/>
      <c r="C32" s="52"/>
      <c r="D32" s="52"/>
      <c r="E32" s="52"/>
      <c r="F32" s="52"/>
      <c r="G32" s="52"/>
      <c r="H32" s="52"/>
      <c r="I32" s="52"/>
    </row>
    <row r="33" spans="1:10" s="27" customFormat="1" x14ac:dyDescent="0.25">
      <c r="A33" s="45"/>
      <c r="B33" s="52"/>
      <c r="C33" s="52"/>
      <c r="D33" s="52"/>
      <c r="E33" s="52"/>
      <c r="F33" s="52"/>
      <c r="G33" s="52"/>
      <c r="H33" s="52"/>
      <c r="I33" s="52"/>
    </row>
    <row r="34" spans="1:10" s="27" customFormat="1" x14ac:dyDescent="0.25">
      <c r="A34" s="347" t="s">
        <v>21</v>
      </c>
      <c r="B34" s="347"/>
      <c r="C34" s="347"/>
      <c r="D34" s="347"/>
      <c r="E34" s="347"/>
      <c r="F34" s="56"/>
      <c r="G34" s="56"/>
      <c r="H34" s="56"/>
      <c r="I34" s="56"/>
      <c r="J34" s="52"/>
    </row>
    <row r="35" spans="1:10" s="27" customFormat="1" x14ac:dyDescent="0.25">
      <c r="A35" s="347" t="s">
        <v>91</v>
      </c>
      <c r="B35" s="347"/>
      <c r="C35" s="347"/>
      <c r="D35" s="347"/>
      <c r="E35" s="347"/>
      <c r="F35" s="56"/>
      <c r="G35" s="56"/>
      <c r="H35" s="56"/>
      <c r="I35" s="56"/>
      <c r="J35" s="52"/>
    </row>
    <row r="36" spans="1:10" s="27" customFormat="1" x14ac:dyDescent="0.25">
      <c r="A36" s="347" t="s">
        <v>164</v>
      </c>
      <c r="B36" s="347"/>
      <c r="C36" s="347"/>
      <c r="D36" s="347"/>
      <c r="E36" s="347"/>
      <c r="F36" s="56"/>
      <c r="G36" s="56"/>
      <c r="H36" s="56"/>
      <c r="I36" s="56"/>
      <c r="J36" s="52"/>
    </row>
    <row r="37" spans="1:10" s="347" customFormat="1" x14ac:dyDescent="0.25"/>
    <row r="38" spans="1:10" s="89" customFormat="1" x14ac:dyDescent="0.25">
      <c r="A38" s="179" t="s">
        <v>123</v>
      </c>
      <c r="B38" s="179"/>
      <c r="C38" s="179"/>
      <c r="D38" s="179"/>
      <c r="E38" s="179"/>
    </row>
    <row r="39" spans="1:10" x14ac:dyDescent="0.25">
      <c r="A39" s="68" t="s">
        <v>188</v>
      </c>
      <c r="B39" s="65" t="s">
        <v>272</v>
      </c>
      <c r="C39" s="65" t="s">
        <v>273</v>
      </c>
      <c r="D39" s="65" t="s">
        <v>274</v>
      </c>
      <c r="E39" s="65" t="s">
        <v>82</v>
      </c>
    </row>
    <row r="40" spans="1:10" x14ac:dyDescent="0.25">
      <c r="A40" s="40"/>
      <c r="B40" s="66"/>
      <c r="C40" s="66"/>
      <c r="D40" s="66"/>
      <c r="E40" s="66"/>
    </row>
    <row r="41" spans="1:10" x14ac:dyDescent="0.25">
      <c r="A41" s="22" t="s">
        <v>85</v>
      </c>
      <c r="B41" s="23"/>
      <c r="C41" s="25"/>
      <c r="D41" s="25"/>
      <c r="E41" s="25"/>
    </row>
    <row r="42" spans="1:10" x14ac:dyDescent="0.25">
      <c r="A42" s="23" t="s">
        <v>86</v>
      </c>
      <c r="B42" s="25">
        <f>851086337/1000000</f>
        <v>851.08633699999996</v>
      </c>
      <c r="C42" s="25">
        <v>0</v>
      </c>
      <c r="D42" s="25">
        <v>0</v>
      </c>
      <c r="E42" s="25">
        <f>SUM(B42:D42)</f>
        <v>851.08633699999996</v>
      </c>
    </row>
    <row r="43" spans="1:10" x14ac:dyDescent="0.25">
      <c r="A43" s="23" t="s">
        <v>27</v>
      </c>
      <c r="B43" s="25">
        <f>161330398/1000000</f>
        <v>161.330398</v>
      </c>
      <c r="C43" s="25">
        <v>0</v>
      </c>
      <c r="D43" s="25">
        <v>0</v>
      </c>
      <c r="E43" s="25">
        <f t="shared" ref="E43:E50" si="3">SUM(B43:D43)</f>
        <v>161.330398</v>
      </c>
    </row>
    <row r="44" spans="1:10" x14ac:dyDescent="0.25">
      <c r="A44" s="23" t="s">
        <v>28</v>
      </c>
      <c r="B44" s="25">
        <v>0</v>
      </c>
      <c r="C44" s="25">
        <v>0</v>
      </c>
      <c r="D44" s="25">
        <v>0</v>
      </c>
      <c r="E44" s="25">
        <f t="shared" si="3"/>
        <v>0</v>
      </c>
    </row>
    <row r="45" spans="1:10" x14ac:dyDescent="0.25">
      <c r="A45" s="23" t="s">
        <v>29</v>
      </c>
      <c r="B45" s="25">
        <v>0</v>
      </c>
      <c r="C45" s="25">
        <v>0</v>
      </c>
      <c r="D45" s="25">
        <v>0</v>
      </c>
      <c r="E45" s="25">
        <f t="shared" si="3"/>
        <v>0</v>
      </c>
    </row>
    <row r="46" spans="1:10" x14ac:dyDescent="0.25">
      <c r="A46" s="23" t="s">
        <v>269</v>
      </c>
      <c r="B46" s="25">
        <f>5095691199/1000000</f>
        <v>5095.6911989999999</v>
      </c>
      <c r="C46" s="25">
        <v>0</v>
      </c>
      <c r="D46" s="25">
        <v>0</v>
      </c>
      <c r="E46" s="25">
        <f t="shared" si="3"/>
        <v>5095.6911989999999</v>
      </c>
    </row>
    <row r="47" spans="1:10" x14ac:dyDescent="0.25">
      <c r="A47" s="23" t="s">
        <v>270</v>
      </c>
      <c r="B47" s="25">
        <f>24687713959/1000000</f>
        <v>24687.713959000001</v>
      </c>
      <c r="C47" s="25">
        <v>0</v>
      </c>
      <c r="D47" s="25">
        <v>0</v>
      </c>
      <c r="E47" s="25">
        <f t="shared" si="3"/>
        <v>24687.713959000001</v>
      </c>
    </row>
    <row r="48" spans="1:10" x14ac:dyDescent="0.25">
      <c r="A48" s="23" t="s">
        <v>271</v>
      </c>
      <c r="B48" s="25">
        <v>0</v>
      </c>
      <c r="C48" s="25">
        <v>0</v>
      </c>
      <c r="D48" s="25">
        <f>2040001/1000000</f>
        <v>2.0400010000000002</v>
      </c>
      <c r="E48" s="25">
        <f t="shared" si="3"/>
        <v>2.0400010000000002</v>
      </c>
    </row>
    <row r="49" spans="1:10" x14ac:dyDescent="0.25">
      <c r="A49" s="23" t="s">
        <v>196</v>
      </c>
      <c r="B49" s="25">
        <v>0</v>
      </c>
      <c r="C49" s="25">
        <v>0</v>
      </c>
      <c r="D49" s="25">
        <v>0</v>
      </c>
      <c r="E49" s="25">
        <f t="shared" si="3"/>
        <v>0</v>
      </c>
    </row>
    <row r="50" spans="1:10" s="2" customFormat="1" x14ac:dyDescent="0.25">
      <c r="A50" s="22" t="s">
        <v>87</v>
      </c>
      <c r="B50" s="26">
        <v>36650176</v>
      </c>
      <c r="C50" s="26">
        <v>2040</v>
      </c>
      <c r="D50" s="26">
        <v>0</v>
      </c>
      <c r="E50" s="26">
        <f t="shared" si="3"/>
        <v>36652216</v>
      </c>
    </row>
    <row r="51" spans="1:10" x14ac:dyDescent="0.25">
      <c r="A51" s="78"/>
      <c r="B51" s="79"/>
      <c r="C51" s="79"/>
      <c r="D51" s="79"/>
      <c r="E51" s="79"/>
      <c r="F51" s="79"/>
      <c r="G51" s="79"/>
      <c r="H51" s="79"/>
      <c r="I51" s="79"/>
      <c r="J51" s="4"/>
    </row>
    <row r="52" spans="1:10" x14ac:dyDescent="0.25">
      <c r="A52" s="68" t="s">
        <v>278</v>
      </c>
      <c r="B52" s="65" t="s">
        <v>272</v>
      </c>
      <c r="C52" s="65" t="s">
        <v>273</v>
      </c>
      <c r="D52" s="65" t="s">
        <v>82</v>
      </c>
    </row>
    <row r="53" spans="1:10" x14ac:dyDescent="0.25">
      <c r="A53" s="40"/>
      <c r="B53" s="66"/>
      <c r="C53" s="66"/>
      <c r="D53" s="66"/>
    </row>
    <row r="54" spans="1:10" x14ac:dyDescent="0.25">
      <c r="A54" s="22" t="s">
        <v>88</v>
      </c>
      <c r="B54" s="88"/>
      <c r="C54" s="23"/>
      <c r="D54" s="23"/>
    </row>
    <row r="55" spans="1:10" x14ac:dyDescent="0.25">
      <c r="A55" s="23" t="s">
        <v>37</v>
      </c>
      <c r="B55" s="80">
        <f>2288494500/1000000</f>
        <v>2288.4944999999998</v>
      </c>
      <c r="C55" s="25">
        <v>0</v>
      </c>
      <c r="D55" s="25">
        <f>SUM(B55:C55)</f>
        <v>2288.4944999999998</v>
      </c>
    </row>
    <row r="56" spans="1:10" x14ac:dyDescent="0.25">
      <c r="A56" s="23" t="s">
        <v>29</v>
      </c>
      <c r="B56" s="80">
        <v>0</v>
      </c>
      <c r="C56" s="25">
        <v>0</v>
      </c>
      <c r="D56" s="25">
        <f t="shared" ref="D56:D62" si="4">SUM(B56:C56)</f>
        <v>0</v>
      </c>
    </row>
    <row r="57" spans="1:10" x14ac:dyDescent="0.25">
      <c r="A57" s="23" t="s">
        <v>279</v>
      </c>
      <c r="B57" s="80"/>
      <c r="C57" s="25"/>
      <c r="D57" s="25">
        <f t="shared" si="4"/>
        <v>0</v>
      </c>
    </row>
    <row r="58" spans="1:10" x14ac:dyDescent="0.25">
      <c r="A58" s="23" t="s">
        <v>280</v>
      </c>
      <c r="B58" s="80">
        <f>309933618/1000000</f>
        <v>309.93361800000002</v>
      </c>
      <c r="C58" s="25">
        <v>0</v>
      </c>
      <c r="D58" s="25">
        <f t="shared" si="4"/>
        <v>309.93361800000002</v>
      </c>
    </row>
    <row r="59" spans="1:10" x14ac:dyDescent="0.25">
      <c r="A59" s="23" t="s">
        <v>281</v>
      </c>
      <c r="B59" s="80" t="e">
        <f>+'FINANCIAL POSITION'!#REF!</f>
        <v>#REF!</v>
      </c>
      <c r="C59" s="25">
        <v>0</v>
      </c>
      <c r="D59" s="25" t="e">
        <f t="shared" si="4"/>
        <v>#REF!</v>
      </c>
    </row>
    <row r="60" spans="1:10" x14ac:dyDescent="0.25">
      <c r="A60" s="23" t="s">
        <v>282</v>
      </c>
      <c r="B60" s="80">
        <v>0</v>
      </c>
      <c r="C60" s="25">
        <v>0</v>
      </c>
      <c r="D60" s="25">
        <f t="shared" si="4"/>
        <v>0</v>
      </c>
    </row>
    <row r="61" spans="1:10" x14ac:dyDescent="0.25">
      <c r="A61" s="23" t="s">
        <v>89</v>
      </c>
      <c r="B61" s="80">
        <v>0</v>
      </c>
      <c r="C61" s="25">
        <v>0</v>
      </c>
      <c r="D61" s="25">
        <f t="shared" si="4"/>
        <v>0</v>
      </c>
    </row>
    <row r="62" spans="1:10" x14ac:dyDescent="0.25">
      <c r="A62" s="22" t="s">
        <v>90</v>
      </c>
      <c r="B62" s="120">
        <v>32481588</v>
      </c>
      <c r="C62" s="26">
        <v>0</v>
      </c>
      <c r="D62" s="26">
        <f t="shared" si="4"/>
        <v>32481588</v>
      </c>
    </row>
    <row r="63" spans="1:10" s="27" customFormat="1" x14ac:dyDescent="0.25">
      <c r="A63" s="45" t="s">
        <v>277</v>
      </c>
      <c r="B63" s="52"/>
      <c r="C63" s="52"/>
      <c r="D63" s="52"/>
      <c r="E63" s="52"/>
      <c r="F63" s="52"/>
      <c r="G63" s="52"/>
      <c r="H63" s="52"/>
      <c r="I63" s="52"/>
    </row>
    <row r="64" spans="1:10" s="27" customFormat="1" x14ac:dyDescent="0.25">
      <c r="A64" s="45" t="s">
        <v>276</v>
      </c>
      <c r="B64" s="52"/>
      <c r="C64" s="52"/>
      <c r="D64" s="52"/>
      <c r="E64" s="52"/>
      <c r="F64" s="52"/>
      <c r="G64" s="52"/>
      <c r="H64" s="52"/>
      <c r="I64" s="52"/>
    </row>
    <row r="65" spans="1:9" s="27" customFormat="1" x14ac:dyDescent="0.25">
      <c r="A65" s="45" t="s">
        <v>275</v>
      </c>
      <c r="B65" s="52"/>
      <c r="C65" s="52"/>
      <c r="D65" s="52"/>
      <c r="E65" s="52"/>
      <c r="F65" s="52"/>
      <c r="G65" s="52"/>
      <c r="H65" s="52"/>
      <c r="I65" s="52"/>
    </row>
    <row r="66" spans="1:9" s="52" customFormat="1" x14ac:dyDescent="0.25"/>
    <row r="67" spans="1:9" s="52" customFormat="1" x14ac:dyDescent="0.25">
      <c r="A67" s="419" t="s">
        <v>21</v>
      </c>
      <c r="B67" s="419"/>
      <c r="C67" s="419"/>
      <c r="D67" s="419"/>
      <c r="E67" s="419"/>
      <c r="F67" s="175"/>
      <c r="G67" s="175"/>
      <c r="H67" s="175"/>
      <c r="I67" s="175"/>
    </row>
    <row r="68" spans="1:9" s="52" customFormat="1" x14ac:dyDescent="0.25">
      <c r="A68" s="419" t="s">
        <v>114</v>
      </c>
      <c r="B68" s="419"/>
      <c r="C68" s="419"/>
      <c r="D68" s="419"/>
      <c r="E68" s="419"/>
      <c r="F68" s="175"/>
      <c r="G68" s="175"/>
      <c r="H68" s="175"/>
      <c r="I68" s="175"/>
    </row>
    <row r="69" spans="1:9" s="148" customFormat="1" x14ac:dyDescent="0.25">
      <c r="A69" s="418" t="s">
        <v>164</v>
      </c>
      <c r="B69" s="419"/>
      <c r="C69" s="419"/>
      <c r="D69" s="419"/>
      <c r="E69" s="419"/>
      <c r="F69" s="176"/>
      <c r="G69" s="176"/>
      <c r="H69" s="176"/>
      <c r="I69" s="176"/>
    </row>
    <row r="70" spans="1:9" s="52" customFormat="1" x14ac:dyDescent="0.25">
      <c r="A70" s="416"/>
      <c r="B70" s="417"/>
      <c r="C70" s="417"/>
      <c r="D70" s="417"/>
      <c r="E70" s="417"/>
      <c r="F70" s="417"/>
      <c r="G70" s="417"/>
      <c r="H70" s="417"/>
      <c r="I70" s="417"/>
    </row>
    <row r="71" spans="1:9" s="4" customFormat="1" x14ac:dyDescent="0.25">
      <c r="A71" s="179" t="s">
        <v>132</v>
      </c>
      <c r="B71" s="179"/>
      <c r="C71" s="179"/>
      <c r="D71" s="179"/>
      <c r="E71" s="179"/>
    </row>
    <row r="72" spans="1:9" s="4" customFormat="1" x14ac:dyDescent="0.25">
      <c r="A72" s="105" t="s">
        <v>278</v>
      </c>
      <c r="B72" s="65" t="s">
        <v>272</v>
      </c>
      <c r="C72" s="65" t="s">
        <v>273</v>
      </c>
      <c r="D72" s="65" t="s">
        <v>274</v>
      </c>
      <c r="E72" s="65" t="s">
        <v>82</v>
      </c>
    </row>
    <row r="73" spans="1:9" s="4" customFormat="1" x14ac:dyDescent="0.25">
      <c r="A73" s="106"/>
      <c r="B73" s="107"/>
      <c r="C73" s="107"/>
      <c r="D73" s="107"/>
      <c r="E73" s="107"/>
    </row>
    <row r="74" spans="1:9" s="4" customFormat="1" x14ac:dyDescent="0.25">
      <c r="A74" s="22" t="s">
        <v>85</v>
      </c>
      <c r="B74" s="23"/>
      <c r="C74" s="23"/>
      <c r="D74" s="23"/>
      <c r="E74" s="23"/>
    </row>
    <row r="75" spans="1:9" s="4" customFormat="1" x14ac:dyDescent="0.25">
      <c r="A75" s="23" t="s">
        <v>86</v>
      </c>
      <c r="B75" s="97"/>
      <c r="C75" s="97"/>
      <c r="D75" s="97"/>
      <c r="E75" s="97">
        <f t="shared" ref="E75:E82" si="5">SUM(B75:D75)</f>
        <v>0</v>
      </c>
    </row>
    <row r="76" spans="1:9" s="4" customFormat="1" x14ac:dyDescent="0.25">
      <c r="A76" s="23" t="s">
        <v>27</v>
      </c>
      <c r="B76" s="97"/>
      <c r="C76" s="97"/>
      <c r="D76" s="97"/>
      <c r="E76" s="97">
        <f t="shared" si="5"/>
        <v>0</v>
      </c>
    </row>
    <row r="77" spans="1:9" s="4" customFormat="1" x14ac:dyDescent="0.25">
      <c r="A77" s="23" t="s">
        <v>28</v>
      </c>
      <c r="B77" s="97"/>
      <c r="C77" s="97"/>
      <c r="D77" s="97"/>
      <c r="E77" s="97">
        <f t="shared" si="5"/>
        <v>0</v>
      </c>
    </row>
    <row r="78" spans="1:9" s="4" customFormat="1" x14ac:dyDescent="0.25">
      <c r="A78" s="23" t="s">
        <v>29</v>
      </c>
      <c r="B78" s="97"/>
      <c r="C78" s="97"/>
      <c r="D78" s="97"/>
      <c r="E78" s="97">
        <f t="shared" si="5"/>
        <v>0</v>
      </c>
    </row>
    <row r="79" spans="1:9" s="4" customFormat="1" x14ac:dyDescent="0.25">
      <c r="A79" s="23" t="s">
        <v>269</v>
      </c>
      <c r="B79" s="97"/>
      <c r="C79" s="97"/>
      <c r="D79" s="97"/>
      <c r="E79" s="97">
        <f t="shared" si="5"/>
        <v>0</v>
      </c>
    </row>
    <row r="80" spans="1:9" s="4" customFormat="1" x14ac:dyDescent="0.25">
      <c r="A80" s="23" t="s">
        <v>270</v>
      </c>
      <c r="B80" s="97"/>
      <c r="C80" s="97"/>
      <c r="D80" s="97"/>
      <c r="E80" s="97">
        <f t="shared" si="5"/>
        <v>0</v>
      </c>
    </row>
    <row r="81" spans="1:9" s="4" customFormat="1" x14ac:dyDescent="0.25">
      <c r="A81" s="23" t="s">
        <v>271</v>
      </c>
      <c r="B81" s="97"/>
      <c r="C81" s="97"/>
      <c r="D81" s="97"/>
      <c r="E81" s="97">
        <f t="shared" si="5"/>
        <v>0</v>
      </c>
    </row>
    <row r="82" spans="1:9" s="4" customFormat="1" x14ac:dyDescent="0.25">
      <c r="A82" s="23" t="s">
        <v>196</v>
      </c>
      <c r="B82" s="97"/>
      <c r="C82" s="97"/>
      <c r="D82" s="97"/>
      <c r="E82" s="97">
        <f t="shared" si="5"/>
        <v>0</v>
      </c>
    </row>
    <row r="83" spans="1:9" s="5" customFormat="1" x14ac:dyDescent="0.25">
      <c r="A83" s="22" t="s">
        <v>87</v>
      </c>
      <c r="B83" s="122"/>
      <c r="C83" s="122"/>
      <c r="D83" s="122"/>
      <c r="E83" s="122">
        <f>SUM(E75:E82)</f>
        <v>0</v>
      </c>
    </row>
    <row r="84" spans="1:9" s="4" customFormat="1" x14ac:dyDescent="0.25">
      <c r="A84" s="78"/>
      <c r="B84" s="109"/>
      <c r="C84" s="109"/>
      <c r="D84" s="109"/>
      <c r="E84" s="109"/>
      <c r="F84" s="109"/>
      <c r="G84" s="109"/>
      <c r="H84" s="109"/>
      <c r="I84" s="109"/>
    </row>
    <row r="85" spans="1:9" s="4" customFormat="1" x14ac:dyDescent="0.25">
      <c r="A85" s="105" t="s">
        <v>278</v>
      </c>
      <c r="B85" s="65" t="s">
        <v>272</v>
      </c>
      <c r="C85" s="65" t="s">
        <v>273</v>
      </c>
      <c r="D85" s="65" t="s">
        <v>82</v>
      </c>
    </row>
    <row r="86" spans="1:9" s="4" customFormat="1" x14ac:dyDescent="0.25">
      <c r="A86" s="106"/>
      <c r="B86" s="107"/>
      <c r="C86" s="107"/>
      <c r="D86" s="107"/>
    </row>
    <row r="87" spans="1:9" s="4" customFormat="1" x14ac:dyDescent="0.25">
      <c r="A87" s="23" t="s">
        <v>37</v>
      </c>
      <c r="B87" s="70"/>
      <c r="C87" s="70"/>
      <c r="D87" s="97">
        <f t="shared" ref="D87:D94" si="6">SUM(B87:C87)</f>
        <v>0</v>
      </c>
    </row>
    <row r="88" spans="1:9" s="4" customFormat="1" x14ac:dyDescent="0.25">
      <c r="A88" s="23" t="s">
        <v>29</v>
      </c>
      <c r="B88" s="70"/>
      <c r="C88" s="70"/>
      <c r="D88" s="97">
        <f t="shared" si="6"/>
        <v>0</v>
      </c>
    </row>
    <row r="89" spans="1:9" s="4" customFormat="1" x14ac:dyDescent="0.25">
      <c r="A89" s="23" t="s">
        <v>279</v>
      </c>
      <c r="B89" s="70"/>
      <c r="C89" s="70"/>
      <c r="D89" s="97">
        <f t="shared" si="6"/>
        <v>0</v>
      </c>
    </row>
    <row r="90" spans="1:9" s="4" customFormat="1" x14ac:dyDescent="0.25">
      <c r="A90" s="23" t="s">
        <v>280</v>
      </c>
      <c r="B90" s="70"/>
      <c r="C90" s="70"/>
      <c r="D90" s="97">
        <f t="shared" si="6"/>
        <v>0</v>
      </c>
    </row>
    <row r="91" spans="1:9" s="4" customFormat="1" x14ac:dyDescent="0.25">
      <c r="A91" s="23" t="s">
        <v>281</v>
      </c>
      <c r="B91" s="70"/>
      <c r="C91" s="70"/>
      <c r="D91" s="97">
        <f t="shared" si="6"/>
        <v>0</v>
      </c>
    </row>
    <row r="92" spans="1:9" s="4" customFormat="1" x14ac:dyDescent="0.25">
      <c r="A92" s="23" t="s">
        <v>282</v>
      </c>
      <c r="B92" s="70"/>
      <c r="C92" s="70"/>
      <c r="D92" s="97">
        <f t="shared" si="6"/>
        <v>0</v>
      </c>
    </row>
    <row r="93" spans="1:9" s="4" customFormat="1" x14ac:dyDescent="0.25">
      <c r="A93" s="23" t="s">
        <v>89</v>
      </c>
      <c r="B93" s="70"/>
      <c r="C93" s="70"/>
      <c r="D93" s="97">
        <f t="shared" si="6"/>
        <v>0</v>
      </c>
    </row>
    <row r="94" spans="1:9" s="4" customFormat="1" x14ac:dyDescent="0.25">
      <c r="A94" s="22" t="s">
        <v>90</v>
      </c>
      <c r="B94" s="28"/>
      <c r="C94" s="28"/>
      <c r="D94" s="108">
        <f t="shared" si="6"/>
        <v>0</v>
      </c>
    </row>
    <row r="95" spans="1:9" s="27" customFormat="1" x14ac:dyDescent="0.25">
      <c r="A95" s="45" t="s">
        <v>277</v>
      </c>
      <c r="B95" s="52"/>
      <c r="C95" s="52"/>
      <c r="D95" s="52"/>
      <c r="E95" s="52"/>
      <c r="F95" s="52"/>
      <c r="G95" s="52"/>
      <c r="H95" s="52"/>
      <c r="I95" s="52"/>
    </row>
    <row r="96" spans="1:9" s="27" customFormat="1" x14ac:dyDescent="0.25">
      <c r="A96" s="45" t="s">
        <v>276</v>
      </c>
      <c r="B96" s="52"/>
      <c r="C96" s="52"/>
      <c r="D96" s="52"/>
      <c r="E96" s="52"/>
      <c r="F96" s="52"/>
      <c r="G96" s="52"/>
      <c r="H96" s="52"/>
      <c r="I96" s="52"/>
    </row>
    <row r="97" spans="1:9" s="27" customFormat="1" x14ac:dyDescent="0.25">
      <c r="A97" s="45" t="s">
        <v>275</v>
      </c>
      <c r="B97" s="52"/>
      <c r="C97" s="52"/>
      <c r="D97" s="52"/>
      <c r="E97" s="52"/>
      <c r="F97" s="52"/>
      <c r="G97" s="52"/>
      <c r="H97" s="52"/>
      <c r="I97" s="52"/>
    </row>
    <row r="98" spans="1:9" s="52" customFormat="1" ht="12.75" customHeight="1" x14ac:dyDescent="0.25">
      <c r="A98" s="110"/>
      <c r="B98" s="111"/>
      <c r="C98" s="111"/>
      <c r="D98" s="111"/>
      <c r="E98" s="111"/>
      <c r="F98" s="111"/>
      <c r="G98" s="111"/>
      <c r="H98" s="111"/>
      <c r="I98" s="111"/>
    </row>
    <row r="99" spans="1:9" s="52" customFormat="1" x14ac:dyDescent="0.25">
      <c r="A99" s="418" t="s">
        <v>21</v>
      </c>
      <c r="B99" s="419"/>
      <c r="C99" s="419"/>
      <c r="D99" s="419"/>
      <c r="E99" s="419"/>
      <c r="F99" s="175"/>
      <c r="G99" s="175"/>
      <c r="H99" s="175"/>
      <c r="I99" s="175"/>
    </row>
    <row r="100" spans="1:9" s="52" customFormat="1" x14ac:dyDescent="0.25">
      <c r="A100" s="418" t="s">
        <v>114</v>
      </c>
      <c r="B100" s="419"/>
      <c r="C100" s="419"/>
      <c r="D100" s="419"/>
      <c r="E100" s="419"/>
      <c r="F100" s="175"/>
      <c r="G100" s="175"/>
      <c r="H100" s="175"/>
      <c r="I100" s="175"/>
    </row>
    <row r="101" spans="1:9" s="52" customFormat="1" x14ac:dyDescent="0.25">
      <c r="A101" s="418" t="s">
        <v>161</v>
      </c>
      <c r="B101" s="419"/>
      <c r="C101" s="419"/>
      <c r="D101" s="419"/>
      <c r="E101" s="419"/>
      <c r="F101" s="175"/>
      <c r="G101" s="175"/>
      <c r="H101" s="175"/>
      <c r="I101" s="175"/>
    </row>
    <row r="102" spans="1:9" s="52" customFormat="1" x14ac:dyDescent="0.25">
      <c r="A102" s="177"/>
      <c r="B102" s="178"/>
      <c r="C102" s="178"/>
      <c r="D102" s="178"/>
      <c r="E102" s="178"/>
      <c r="F102" s="175"/>
      <c r="G102" s="175"/>
      <c r="H102" s="175"/>
      <c r="I102" s="175"/>
    </row>
    <row r="103" spans="1:9" s="4" customFormat="1" x14ac:dyDescent="0.25">
      <c r="A103" s="179" t="s">
        <v>165</v>
      </c>
      <c r="B103" s="179"/>
      <c r="C103" s="179"/>
      <c r="D103" s="179"/>
      <c r="E103" s="179"/>
    </row>
    <row r="104" spans="1:9" s="4" customFormat="1" x14ac:dyDescent="0.25">
      <c r="A104" s="180" t="s">
        <v>278</v>
      </c>
      <c r="B104" s="181" t="s">
        <v>272</v>
      </c>
      <c r="C104" s="181" t="s">
        <v>273</v>
      </c>
      <c r="D104" s="181" t="s">
        <v>274</v>
      </c>
      <c r="E104" s="181" t="s">
        <v>82</v>
      </c>
    </row>
    <row r="105" spans="1:9" s="4" customFormat="1" x14ac:dyDescent="0.25">
      <c r="A105" s="180"/>
      <c r="B105" s="182"/>
      <c r="C105" s="182"/>
      <c r="D105" s="182"/>
      <c r="E105" s="182"/>
    </row>
    <row r="106" spans="1:9" s="4" customFormat="1" x14ac:dyDescent="0.25">
      <c r="A106" s="22" t="s">
        <v>85</v>
      </c>
      <c r="B106" s="23"/>
      <c r="C106" s="23"/>
      <c r="D106" s="23"/>
      <c r="E106" s="23"/>
    </row>
    <row r="107" spans="1:9" s="4" customFormat="1" x14ac:dyDescent="0.25">
      <c r="A107" s="23" t="s">
        <v>86</v>
      </c>
      <c r="B107" s="97"/>
      <c r="C107" s="97"/>
      <c r="D107" s="97"/>
      <c r="E107" s="97">
        <f t="shared" ref="E107:E114" si="7">SUM(B107:D107)</f>
        <v>0</v>
      </c>
    </row>
    <row r="108" spans="1:9" s="4" customFormat="1" x14ac:dyDescent="0.25">
      <c r="A108" s="23" t="s">
        <v>27</v>
      </c>
      <c r="B108" s="97"/>
      <c r="C108" s="97"/>
      <c r="D108" s="97"/>
      <c r="E108" s="97">
        <f t="shared" si="7"/>
        <v>0</v>
      </c>
    </row>
    <row r="109" spans="1:9" s="4" customFormat="1" x14ac:dyDescent="0.25">
      <c r="A109" s="23" t="s">
        <v>28</v>
      </c>
      <c r="B109" s="97"/>
      <c r="C109" s="97"/>
      <c r="D109" s="97"/>
      <c r="E109" s="97">
        <f t="shared" si="7"/>
        <v>0</v>
      </c>
    </row>
    <row r="110" spans="1:9" s="4" customFormat="1" x14ac:dyDescent="0.25">
      <c r="A110" s="23" t="s">
        <v>29</v>
      </c>
      <c r="B110" s="97"/>
      <c r="C110" s="97"/>
      <c r="D110" s="97"/>
      <c r="E110" s="97">
        <f t="shared" si="7"/>
        <v>0</v>
      </c>
    </row>
    <row r="111" spans="1:9" s="4" customFormat="1" x14ac:dyDescent="0.25">
      <c r="A111" s="23" t="s">
        <v>269</v>
      </c>
      <c r="B111" s="97"/>
      <c r="C111" s="97"/>
      <c r="D111" s="97"/>
      <c r="E111" s="97">
        <f t="shared" si="7"/>
        <v>0</v>
      </c>
    </row>
    <row r="112" spans="1:9" s="4" customFormat="1" x14ac:dyDescent="0.25">
      <c r="A112" s="23" t="s">
        <v>270</v>
      </c>
      <c r="B112" s="97"/>
      <c r="C112" s="97"/>
      <c r="D112" s="97"/>
      <c r="E112" s="97">
        <f t="shared" si="7"/>
        <v>0</v>
      </c>
    </row>
    <row r="113" spans="1:9" s="4" customFormat="1" x14ac:dyDescent="0.25">
      <c r="A113" s="23" t="s">
        <v>271</v>
      </c>
      <c r="B113" s="97"/>
      <c r="C113" s="97"/>
      <c r="D113" s="97"/>
      <c r="E113" s="97">
        <f t="shared" si="7"/>
        <v>0</v>
      </c>
    </row>
    <row r="114" spans="1:9" s="4" customFormat="1" x14ac:dyDescent="0.25">
      <c r="A114" s="23" t="s">
        <v>196</v>
      </c>
      <c r="B114" s="97"/>
      <c r="C114" s="97"/>
      <c r="D114" s="97"/>
      <c r="E114" s="97">
        <f t="shared" si="7"/>
        <v>0</v>
      </c>
    </row>
    <row r="115" spans="1:9" s="5" customFormat="1" x14ac:dyDescent="0.25">
      <c r="A115" s="22" t="s">
        <v>87</v>
      </c>
      <c r="B115" s="122"/>
      <c r="C115" s="122"/>
      <c r="D115" s="122"/>
      <c r="E115" s="122">
        <f>SUM(E107:E114)</f>
        <v>0</v>
      </c>
    </row>
    <row r="116" spans="1:9" s="4" customFormat="1" ht="18" customHeight="1" x14ac:dyDescent="0.25">
      <c r="A116" s="78"/>
      <c r="B116" s="109"/>
      <c r="C116" s="109"/>
      <c r="D116" s="109"/>
      <c r="E116" s="109"/>
      <c r="F116" s="109"/>
      <c r="G116" s="109"/>
      <c r="H116" s="109"/>
      <c r="I116" s="109"/>
    </row>
    <row r="117" spans="1:9" s="4" customFormat="1" x14ac:dyDescent="0.25">
      <c r="A117" s="180" t="s">
        <v>278</v>
      </c>
      <c r="B117" s="181" t="s">
        <v>272</v>
      </c>
      <c r="C117" s="181" t="s">
        <v>273</v>
      </c>
      <c r="D117" s="181" t="s">
        <v>82</v>
      </c>
    </row>
    <row r="118" spans="1:9" s="4" customFormat="1" x14ac:dyDescent="0.25">
      <c r="A118" s="180"/>
      <c r="B118" s="182"/>
      <c r="C118" s="182"/>
      <c r="D118" s="182"/>
    </row>
    <row r="119" spans="1:9" s="4" customFormat="1" x14ac:dyDescent="0.25">
      <c r="A119" s="23" t="s">
        <v>37</v>
      </c>
      <c r="B119" s="70"/>
      <c r="C119" s="70"/>
      <c r="D119" s="97">
        <f t="shared" ref="D119:D126" si="8">SUM(B119:C119)</f>
        <v>0</v>
      </c>
    </row>
    <row r="120" spans="1:9" s="4" customFormat="1" x14ac:dyDescent="0.25">
      <c r="A120" s="23" t="s">
        <v>29</v>
      </c>
      <c r="B120" s="70"/>
      <c r="C120" s="70"/>
      <c r="D120" s="97">
        <f t="shared" si="8"/>
        <v>0</v>
      </c>
    </row>
    <row r="121" spans="1:9" s="4" customFormat="1" x14ac:dyDescent="0.25">
      <c r="A121" s="23" t="s">
        <v>279</v>
      </c>
      <c r="B121" s="70"/>
      <c r="C121" s="70"/>
      <c r="D121" s="97">
        <f t="shared" si="8"/>
        <v>0</v>
      </c>
    </row>
    <row r="122" spans="1:9" s="4" customFormat="1" x14ac:dyDescent="0.25">
      <c r="A122" s="23" t="s">
        <v>280</v>
      </c>
      <c r="B122" s="70"/>
      <c r="C122" s="70"/>
      <c r="D122" s="97">
        <f t="shared" si="8"/>
        <v>0</v>
      </c>
    </row>
    <row r="123" spans="1:9" s="4" customFormat="1" x14ac:dyDescent="0.25">
      <c r="A123" s="23" t="s">
        <v>281</v>
      </c>
      <c r="B123" s="70"/>
      <c r="C123" s="70"/>
      <c r="D123" s="97">
        <f t="shared" si="8"/>
        <v>0</v>
      </c>
    </row>
    <row r="124" spans="1:9" s="4" customFormat="1" x14ac:dyDescent="0.25">
      <c r="A124" s="23" t="s">
        <v>282</v>
      </c>
      <c r="B124" s="70"/>
      <c r="C124" s="70"/>
      <c r="D124" s="97">
        <f t="shared" si="8"/>
        <v>0</v>
      </c>
    </row>
    <row r="125" spans="1:9" s="4" customFormat="1" x14ac:dyDescent="0.25">
      <c r="A125" s="23" t="s">
        <v>89</v>
      </c>
      <c r="B125" s="70"/>
      <c r="C125" s="70"/>
      <c r="D125" s="97">
        <f t="shared" si="8"/>
        <v>0</v>
      </c>
    </row>
    <row r="126" spans="1:9" s="4" customFormat="1" x14ac:dyDescent="0.25">
      <c r="A126" s="22" t="s">
        <v>90</v>
      </c>
      <c r="B126" s="28"/>
      <c r="C126" s="28"/>
      <c r="D126" s="108">
        <f t="shared" si="8"/>
        <v>0</v>
      </c>
    </row>
    <row r="127" spans="1:9" s="27" customFormat="1" x14ac:dyDescent="0.25">
      <c r="A127" s="45" t="s">
        <v>277</v>
      </c>
      <c r="B127" s="52"/>
      <c r="C127" s="52"/>
      <c r="D127" s="52"/>
      <c r="E127" s="52"/>
      <c r="F127" s="52"/>
      <c r="G127" s="52"/>
      <c r="H127" s="52"/>
      <c r="I127" s="52"/>
    </row>
    <row r="128" spans="1:9" s="27" customFormat="1" x14ac:dyDescent="0.25">
      <c r="A128" s="45" t="s">
        <v>276</v>
      </c>
      <c r="B128" s="52"/>
      <c r="C128" s="52"/>
      <c r="D128" s="52"/>
      <c r="E128" s="52"/>
      <c r="F128" s="52"/>
      <c r="G128" s="52"/>
      <c r="H128" s="52"/>
      <c r="I128" s="52"/>
    </row>
    <row r="129" spans="1:9" s="27" customFormat="1" x14ac:dyDescent="0.25">
      <c r="A129" s="45" t="s">
        <v>275</v>
      </c>
      <c r="B129" s="52"/>
      <c r="C129" s="52"/>
      <c r="D129" s="52"/>
      <c r="E129" s="52"/>
      <c r="F129" s="52"/>
      <c r="G129" s="52"/>
      <c r="H129" s="52"/>
      <c r="I129" s="52"/>
    </row>
    <row r="130" spans="1:9" s="52" customFormat="1" x14ac:dyDescent="0.25">
      <c r="A130" s="110"/>
      <c r="B130" s="111"/>
      <c r="C130" s="111"/>
      <c r="D130" s="111"/>
      <c r="E130" s="111"/>
      <c r="F130" s="111"/>
      <c r="G130" s="111"/>
      <c r="H130" s="111"/>
      <c r="I130" s="111"/>
    </row>
    <row r="131" spans="1:9" s="52" customFormat="1" x14ac:dyDescent="0.25">
      <c r="A131" s="110"/>
      <c r="B131" s="111"/>
      <c r="C131" s="111"/>
      <c r="D131" s="111"/>
      <c r="E131" s="111"/>
      <c r="F131" s="111"/>
      <c r="G131" s="111"/>
      <c r="H131" s="111"/>
      <c r="I131" s="111"/>
    </row>
    <row r="132" spans="1:9" s="52" customFormat="1" x14ac:dyDescent="0.25">
      <c r="A132" s="110"/>
      <c r="B132" s="111"/>
      <c r="C132" s="111"/>
      <c r="D132" s="111"/>
      <c r="E132" s="111"/>
      <c r="F132" s="111"/>
      <c r="G132" s="111"/>
      <c r="H132" s="111"/>
      <c r="I132" s="111"/>
    </row>
    <row r="133" spans="1:9" s="52" customFormat="1" x14ac:dyDescent="0.25">
      <c r="A133" s="110"/>
      <c r="B133" s="111"/>
      <c r="C133" s="111"/>
      <c r="D133" s="111"/>
      <c r="E133" s="111"/>
      <c r="F133" s="111"/>
      <c r="G133" s="111"/>
      <c r="H133" s="111"/>
      <c r="I133" s="111"/>
    </row>
    <row r="134" spans="1:9" s="52" customFormat="1" x14ac:dyDescent="0.25">
      <c r="A134" s="110"/>
      <c r="B134" s="111"/>
      <c r="C134" s="111"/>
      <c r="D134" s="111"/>
      <c r="E134" s="111"/>
      <c r="F134" s="111"/>
      <c r="G134" s="111"/>
      <c r="H134" s="111"/>
      <c r="I134" s="111"/>
    </row>
    <row r="135" spans="1:9" s="4" customFormat="1" x14ac:dyDescent="0.25">
      <c r="A135" s="110"/>
      <c r="B135" s="111"/>
      <c r="C135" s="111"/>
      <c r="D135" s="111"/>
      <c r="E135" s="111"/>
      <c r="F135" s="111"/>
      <c r="G135" s="111"/>
      <c r="H135" s="111"/>
      <c r="I135" s="111"/>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workbookViewId="0">
      <selection activeCell="C47" sqref="C47"/>
    </sheetView>
  </sheetViews>
  <sheetFormatPr defaultRowHeight="15" x14ac:dyDescent="0.25"/>
  <cols>
    <col min="1" max="1" width="9.7109375" customWidth="1"/>
    <col min="2" max="2" width="30.85546875" customWidth="1"/>
    <col min="3" max="3" width="11.5703125" customWidth="1"/>
    <col min="4" max="4" width="11.5703125" bestFit="1" customWidth="1"/>
    <col min="5" max="6" width="11" customWidth="1"/>
    <col min="7" max="7" width="13.85546875" bestFit="1" customWidth="1"/>
    <col min="8" max="8" width="18" bestFit="1" customWidth="1"/>
    <col min="9" max="9" width="17.42578125" style="14" bestFit="1" customWidth="1"/>
  </cols>
  <sheetData>
    <row r="1" spans="1:10" s="3" customFormat="1" ht="15.75" x14ac:dyDescent="0.25">
      <c r="A1" s="343" t="s">
        <v>21</v>
      </c>
      <c r="B1" s="344"/>
      <c r="C1" s="344"/>
      <c r="D1" s="344"/>
      <c r="E1" s="344"/>
      <c r="F1" s="344"/>
      <c r="G1" s="173"/>
      <c r="H1" s="173"/>
      <c r="I1" s="173"/>
      <c r="J1" s="4"/>
    </row>
    <row r="2" spans="1:10" s="3" customFormat="1" ht="30" customHeight="1" x14ac:dyDescent="0.25">
      <c r="A2" s="432" t="s">
        <v>285</v>
      </c>
      <c r="B2" s="433"/>
      <c r="C2" s="433"/>
      <c r="D2" s="433"/>
      <c r="E2" s="433"/>
      <c r="F2" s="433"/>
      <c r="G2" s="56"/>
      <c r="H2" s="56"/>
      <c r="I2" s="56"/>
      <c r="J2" s="4"/>
    </row>
    <row r="3" spans="1:10" s="3" customFormat="1" ht="15.75" x14ac:dyDescent="0.25">
      <c r="A3" s="346" t="s">
        <v>323</v>
      </c>
      <c r="B3" s="347"/>
      <c r="C3" s="347"/>
      <c r="D3" s="347"/>
      <c r="E3" s="347"/>
      <c r="F3" s="347"/>
      <c r="G3" s="56"/>
      <c r="H3" s="56"/>
      <c r="I3" s="56"/>
    </row>
    <row r="4" spans="1:10" x14ac:dyDescent="0.25">
      <c r="A4" s="14"/>
      <c r="B4" s="14"/>
      <c r="C4" s="14"/>
      <c r="D4" s="14"/>
      <c r="E4" s="14"/>
      <c r="F4" s="14"/>
    </row>
    <row r="5" spans="1:10" x14ac:dyDescent="0.25">
      <c r="A5" s="186"/>
      <c r="B5" s="187"/>
      <c r="C5" s="430" t="s">
        <v>16</v>
      </c>
      <c r="D5" s="431"/>
      <c r="E5" s="430" t="s">
        <v>25</v>
      </c>
      <c r="F5" s="431"/>
    </row>
    <row r="6" spans="1:10" x14ac:dyDescent="0.25">
      <c r="A6" s="35"/>
      <c r="B6" s="36"/>
      <c r="C6" s="72" t="s">
        <v>17</v>
      </c>
      <c r="D6" s="72" t="s">
        <v>20</v>
      </c>
      <c r="E6" s="72" t="s">
        <v>17</v>
      </c>
      <c r="F6" s="72" t="s">
        <v>20</v>
      </c>
    </row>
    <row r="7" spans="1:10" x14ac:dyDescent="0.25">
      <c r="A7" s="37" t="s">
        <v>188</v>
      </c>
      <c r="B7" s="36"/>
      <c r="C7" s="73" t="s">
        <v>103</v>
      </c>
      <c r="D7" s="73" t="s">
        <v>105</v>
      </c>
      <c r="E7" s="73" t="s">
        <v>103</v>
      </c>
      <c r="F7" s="73" t="s">
        <v>105</v>
      </c>
    </row>
    <row r="8" spans="1:10" x14ac:dyDescent="0.25">
      <c r="A8" s="37"/>
      <c r="B8" s="36"/>
      <c r="C8" s="73" t="s">
        <v>102</v>
      </c>
      <c r="D8" s="73" t="s">
        <v>104</v>
      </c>
      <c r="E8" s="73" t="s">
        <v>102</v>
      </c>
      <c r="F8" s="73" t="s">
        <v>104</v>
      </c>
    </row>
    <row r="9" spans="1:10" x14ac:dyDescent="0.25">
      <c r="A9" s="38"/>
      <c r="B9" s="33"/>
      <c r="C9" s="232" t="s">
        <v>330</v>
      </c>
      <c r="D9" s="232" t="s">
        <v>166</v>
      </c>
      <c r="E9" s="232" t="s">
        <v>330</v>
      </c>
      <c r="F9" s="232" t="s">
        <v>166</v>
      </c>
      <c r="I9" s="15"/>
    </row>
    <row r="10" spans="1:10" x14ac:dyDescent="0.25">
      <c r="A10" s="183" t="s">
        <v>286</v>
      </c>
      <c r="B10" s="33"/>
      <c r="C10" s="74"/>
      <c r="D10" s="74"/>
      <c r="E10" s="74"/>
      <c r="F10" s="74"/>
      <c r="I10" s="15"/>
    </row>
    <row r="11" spans="1:10" x14ac:dyDescent="0.25">
      <c r="A11" s="183" t="s">
        <v>287</v>
      </c>
      <c r="B11" s="33"/>
      <c r="C11" s="74"/>
      <c r="D11" s="74"/>
      <c r="E11" s="74"/>
      <c r="F11" s="74"/>
      <c r="I11" s="15"/>
    </row>
    <row r="12" spans="1:10" x14ac:dyDescent="0.25">
      <c r="A12" s="422" t="s">
        <v>288</v>
      </c>
      <c r="B12" s="423"/>
      <c r="C12" s="222">
        <f>903201539/1000000</f>
        <v>903.20153900000003</v>
      </c>
      <c r="D12" s="222">
        <f>1239871991/1000000</f>
        <v>1239.871991</v>
      </c>
      <c r="E12" s="117"/>
      <c r="F12" s="117"/>
      <c r="I12" s="15"/>
    </row>
    <row r="13" spans="1:10" x14ac:dyDescent="0.25">
      <c r="A13" s="422" t="s">
        <v>289</v>
      </c>
      <c r="B13" s="423"/>
      <c r="C13" s="222">
        <f>+(807240121+5141304679)/1000000</f>
        <v>5948.5447999999997</v>
      </c>
      <c r="D13" s="222">
        <f>+(896609130+2098520189)/1000000</f>
        <v>2995.1293190000001</v>
      </c>
      <c r="E13" s="117"/>
      <c r="F13" s="117"/>
      <c r="I13" s="15"/>
    </row>
    <row r="14" spans="1:10" x14ac:dyDescent="0.25">
      <c r="A14" s="422" t="s">
        <v>290</v>
      </c>
      <c r="B14" s="423"/>
      <c r="C14" s="222">
        <v>0</v>
      </c>
      <c r="D14" s="222">
        <v>0</v>
      </c>
      <c r="E14" s="117"/>
      <c r="F14" s="117"/>
      <c r="I14" s="15"/>
    </row>
    <row r="15" spans="1:10" x14ac:dyDescent="0.25">
      <c r="A15" s="422" t="s">
        <v>291</v>
      </c>
      <c r="B15" s="423"/>
      <c r="C15" s="222">
        <v>0</v>
      </c>
      <c r="D15" s="222">
        <v>0</v>
      </c>
      <c r="E15" s="117"/>
      <c r="F15" s="117"/>
      <c r="I15" s="15"/>
    </row>
    <row r="16" spans="1:10" x14ac:dyDescent="0.25">
      <c r="A16" s="422" t="s">
        <v>292</v>
      </c>
      <c r="B16" s="423"/>
      <c r="C16" s="222">
        <v>0</v>
      </c>
      <c r="D16" s="222">
        <v>0</v>
      </c>
      <c r="E16" s="117"/>
      <c r="F16" s="117"/>
      <c r="I16" s="15"/>
    </row>
    <row r="17" spans="1:12" x14ac:dyDescent="0.25">
      <c r="A17" s="422" t="s">
        <v>343</v>
      </c>
      <c r="B17" s="423"/>
      <c r="C17" s="222">
        <f>8173562685/1000000-C12-C13</f>
        <v>1321.8163460000005</v>
      </c>
      <c r="D17" s="222">
        <f>5193173967/1000000-D12-D13</f>
        <v>958.17265699999962</v>
      </c>
      <c r="E17" s="117"/>
      <c r="F17" s="117"/>
      <c r="I17" s="15"/>
    </row>
    <row r="18" spans="1:12" x14ac:dyDescent="0.25">
      <c r="A18" s="39" t="s">
        <v>293</v>
      </c>
      <c r="B18" s="31"/>
      <c r="C18" s="242">
        <f>SUM(C12:C17)</f>
        <v>8173.5626849999999</v>
      </c>
      <c r="D18" s="242">
        <f>SUM(D12:D17)</f>
        <v>5193.1739669999988</v>
      </c>
      <c r="E18" s="242">
        <f t="shared" ref="E18:F18" si="0">SUM(E12:E17)</f>
        <v>0</v>
      </c>
      <c r="F18" s="242">
        <f t="shared" si="0"/>
        <v>0</v>
      </c>
      <c r="H18" s="98"/>
      <c r="I18" s="188"/>
      <c r="L18" s="14"/>
    </row>
    <row r="19" spans="1:12" x14ac:dyDescent="0.25">
      <c r="A19" s="184"/>
      <c r="B19" s="185"/>
      <c r="C19" s="224"/>
      <c r="D19" s="224"/>
      <c r="E19" s="225"/>
      <c r="F19" s="225"/>
      <c r="H19" s="98"/>
      <c r="I19" s="114"/>
      <c r="L19" s="14"/>
    </row>
    <row r="20" spans="1:12" x14ac:dyDescent="0.25">
      <c r="A20" s="183" t="s">
        <v>344</v>
      </c>
      <c r="B20" s="33"/>
      <c r="C20" s="117"/>
      <c r="D20" s="117"/>
      <c r="E20" s="117"/>
      <c r="F20" s="117"/>
      <c r="I20" s="15"/>
    </row>
    <row r="21" spans="1:12" x14ac:dyDescent="0.25">
      <c r="A21" s="422" t="s">
        <v>288</v>
      </c>
      <c r="B21" s="423"/>
      <c r="C21" s="117"/>
      <c r="D21" s="117"/>
      <c r="E21" s="117"/>
      <c r="F21" s="117"/>
      <c r="I21" s="15"/>
    </row>
    <row r="22" spans="1:12" x14ac:dyDescent="0.25">
      <c r="A22" s="422" t="s">
        <v>289</v>
      </c>
      <c r="B22" s="423"/>
      <c r="C22" s="117"/>
      <c r="D22" s="117"/>
      <c r="E22" s="117"/>
      <c r="F22" s="117"/>
      <c r="I22" s="15"/>
    </row>
    <row r="23" spans="1:12" x14ac:dyDescent="0.25">
      <c r="A23" s="422" t="s">
        <v>294</v>
      </c>
      <c r="B23" s="423"/>
      <c r="C23" s="117"/>
      <c r="D23" s="117"/>
      <c r="E23" s="117"/>
      <c r="F23" s="117"/>
      <c r="I23" s="15"/>
    </row>
    <row r="24" spans="1:12" x14ac:dyDescent="0.25">
      <c r="A24" s="422" t="s">
        <v>295</v>
      </c>
      <c r="B24" s="423"/>
      <c r="C24" s="117"/>
      <c r="D24" s="117"/>
      <c r="E24" s="117"/>
      <c r="F24" s="117"/>
      <c r="I24" s="15"/>
    </row>
    <row r="25" spans="1:12" x14ac:dyDescent="0.25">
      <c r="A25" s="422" t="s">
        <v>343</v>
      </c>
      <c r="B25" s="423"/>
      <c r="C25" s="117"/>
      <c r="D25" s="117"/>
      <c r="E25" s="117"/>
      <c r="F25" s="117"/>
      <c r="I25" s="15"/>
    </row>
    <row r="26" spans="1:12" x14ac:dyDescent="0.25">
      <c r="A26" s="39" t="s">
        <v>293</v>
      </c>
      <c r="B26" s="31"/>
      <c r="C26" s="231">
        <f>SUM(C20:C25)</f>
        <v>0</v>
      </c>
      <c r="D26" s="231">
        <f>SUM(D20:D25)</f>
        <v>0</v>
      </c>
      <c r="E26" s="231">
        <f t="shared" ref="E26:F26" si="1">SUM(E20:E25)</f>
        <v>0</v>
      </c>
      <c r="F26" s="231">
        <f t="shared" si="1"/>
        <v>0</v>
      </c>
      <c r="H26" s="98"/>
      <c r="I26" s="114"/>
      <c r="L26" s="14"/>
    </row>
    <row r="27" spans="1:12" x14ac:dyDescent="0.25">
      <c r="A27" s="184" t="s">
        <v>82</v>
      </c>
      <c r="B27" s="185"/>
      <c r="C27" s="231">
        <f>+C18+C26</f>
        <v>8173.5626849999999</v>
      </c>
      <c r="D27" s="231">
        <f t="shared" ref="D27:F27" si="2">+D18+D26</f>
        <v>5193.1739669999988</v>
      </c>
      <c r="E27" s="231">
        <f t="shared" si="2"/>
        <v>0</v>
      </c>
      <c r="F27" s="231">
        <f t="shared" si="2"/>
        <v>0</v>
      </c>
      <c r="H27" s="98"/>
      <c r="I27" s="114"/>
      <c r="L27" s="14"/>
    </row>
    <row r="28" spans="1:12" x14ac:dyDescent="0.25">
      <c r="A28" s="190"/>
      <c r="B28" s="189"/>
      <c r="C28" s="118"/>
      <c r="D28" s="118"/>
      <c r="E28" s="118"/>
      <c r="F28" s="118"/>
    </row>
    <row r="29" spans="1:12" x14ac:dyDescent="0.25">
      <c r="A29" s="183" t="s">
        <v>296</v>
      </c>
      <c r="B29" s="33"/>
      <c r="C29" s="117"/>
      <c r="D29" s="117"/>
      <c r="E29" s="117"/>
      <c r="F29" s="117"/>
    </row>
    <row r="30" spans="1:12" x14ac:dyDescent="0.25">
      <c r="A30" s="183" t="s">
        <v>287</v>
      </c>
      <c r="B30" s="33"/>
      <c r="C30" s="117"/>
      <c r="D30" s="117"/>
      <c r="E30" s="117"/>
      <c r="F30" s="117"/>
    </row>
    <row r="31" spans="1:12" x14ac:dyDescent="0.25">
      <c r="A31" s="422" t="s">
        <v>294</v>
      </c>
      <c r="B31" s="423"/>
      <c r="C31" s="222">
        <f>467400108/1000000</f>
        <v>467.40010799999999</v>
      </c>
      <c r="D31" s="222"/>
      <c r="E31" s="222"/>
      <c r="F31" s="222"/>
    </row>
    <row r="32" spans="1:12" x14ac:dyDescent="0.25">
      <c r="A32" s="422" t="s">
        <v>295</v>
      </c>
      <c r="B32" s="423"/>
      <c r="C32" s="222">
        <v>0</v>
      </c>
      <c r="D32" s="222"/>
      <c r="E32" s="222"/>
      <c r="F32" s="222"/>
    </row>
    <row r="33" spans="1:6" x14ac:dyDescent="0.25">
      <c r="A33" s="422" t="s">
        <v>297</v>
      </c>
      <c r="B33" s="423"/>
      <c r="C33" s="222">
        <f>+(115786696+1065269699)/1000000</f>
        <v>1181.0563950000001</v>
      </c>
      <c r="D33" s="222"/>
      <c r="E33" s="222"/>
      <c r="F33" s="222"/>
    </row>
    <row r="34" spans="1:6" x14ac:dyDescent="0.25">
      <c r="A34" s="422" t="s">
        <v>350</v>
      </c>
      <c r="B34" s="423"/>
      <c r="C34" s="222">
        <f>121465401/1000000</f>
        <v>121.465401</v>
      </c>
      <c r="D34" s="222"/>
      <c r="E34" s="222"/>
      <c r="F34" s="222"/>
    </row>
    <row r="35" spans="1:6" x14ac:dyDescent="0.25">
      <c r="A35" s="422" t="s">
        <v>351</v>
      </c>
      <c r="B35" s="423"/>
      <c r="C35" s="222">
        <f>647340773/1000000</f>
        <v>647.34077300000001</v>
      </c>
      <c r="D35" s="222"/>
      <c r="E35" s="222"/>
      <c r="F35" s="222"/>
    </row>
    <row r="36" spans="1:6" x14ac:dyDescent="0.25">
      <c r="A36" s="422" t="s">
        <v>352</v>
      </c>
      <c r="B36" s="423"/>
      <c r="C36" s="222">
        <f>578891872/1000000</f>
        <v>578.89187200000003</v>
      </c>
      <c r="D36" s="222"/>
      <c r="E36" s="222"/>
      <c r="F36" s="222"/>
    </row>
    <row r="37" spans="1:6" x14ac:dyDescent="0.25">
      <c r="A37" s="39" t="s">
        <v>293</v>
      </c>
      <c r="B37" s="31"/>
      <c r="C37" s="242">
        <f>SUM(C31:C36)</f>
        <v>2996.1545490000003</v>
      </c>
      <c r="D37" s="242">
        <f>SUM(D31:D35)</f>
        <v>0</v>
      </c>
      <c r="E37" s="242">
        <f t="shared" ref="E37:F37" si="3">SUM(E31:E35)</f>
        <v>0</v>
      </c>
      <c r="F37" s="242">
        <f t="shared" si="3"/>
        <v>0</v>
      </c>
    </row>
    <row r="38" spans="1:6" x14ac:dyDescent="0.25">
      <c r="A38" s="424"/>
      <c r="B38" s="425"/>
      <c r="C38" s="224"/>
      <c r="D38" s="224"/>
      <c r="E38" s="225"/>
      <c r="F38" s="225"/>
    </row>
    <row r="39" spans="1:6" x14ac:dyDescent="0.25">
      <c r="A39" s="183" t="s">
        <v>344</v>
      </c>
      <c r="B39" s="33"/>
      <c r="C39" s="117"/>
      <c r="D39" s="117"/>
      <c r="E39" s="117"/>
      <c r="F39" s="117"/>
    </row>
    <row r="40" spans="1:6" x14ac:dyDescent="0.25">
      <c r="A40" s="422" t="s">
        <v>294</v>
      </c>
      <c r="B40" s="423"/>
      <c r="C40" s="117"/>
      <c r="D40" s="117"/>
      <c r="E40" s="117"/>
      <c r="F40" s="117"/>
    </row>
    <row r="41" spans="1:6" x14ac:dyDescent="0.25">
      <c r="A41" s="422" t="s">
        <v>295</v>
      </c>
      <c r="B41" s="423"/>
      <c r="C41" s="117"/>
      <c r="D41" s="117"/>
      <c r="E41" s="117"/>
      <c r="F41" s="117"/>
    </row>
    <row r="42" spans="1:6" x14ac:dyDescent="0.25">
      <c r="A42" s="428" t="s">
        <v>297</v>
      </c>
      <c r="B42" s="429"/>
      <c r="C42" s="117"/>
      <c r="D42" s="117"/>
      <c r="E42" s="117"/>
      <c r="F42" s="117"/>
    </row>
    <row r="43" spans="1:6" x14ac:dyDescent="0.25">
      <c r="A43" s="422" t="s">
        <v>350</v>
      </c>
      <c r="B43" s="423"/>
      <c r="C43" s="117"/>
      <c r="D43" s="117"/>
      <c r="E43" s="117"/>
      <c r="F43" s="117"/>
    </row>
    <row r="44" spans="1:6" x14ac:dyDescent="0.25">
      <c r="A44" s="422" t="s">
        <v>351</v>
      </c>
      <c r="B44" s="423"/>
      <c r="C44" s="117"/>
      <c r="D44" s="117"/>
      <c r="E44" s="117"/>
      <c r="F44" s="117"/>
    </row>
    <row r="45" spans="1:6" x14ac:dyDescent="0.25">
      <c r="A45" s="422" t="s">
        <v>352</v>
      </c>
      <c r="B45" s="423"/>
      <c r="C45" s="117"/>
      <c r="D45" s="117"/>
      <c r="E45" s="117"/>
      <c r="F45" s="117"/>
    </row>
    <row r="46" spans="1:6" x14ac:dyDescent="0.25">
      <c r="A46" s="39" t="s">
        <v>293</v>
      </c>
      <c r="B46" s="31"/>
      <c r="C46" s="223">
        <f>SUM(C40:C45)</f>
        <v>0</v>
      </c>
      <c r="D46" s="223">
        <f>SUM(D39:D44)</f>
        <v>0</v>
      </c>
      <c r="E46" s="223">
        <f t="shared" ref="E46:F46" si="4">SUM(E39:E44)</f>
        <v>0</v>
      </c>
      <c r="F46" s="223">
        <f t="shared" si="4"/>
        <v>0</v>
      </c>
    </row>
    <row r="47" spans="1:6" ht="15.75" thickBot="1" x14ac:dyDescent="0.3">
      <c r="A47" s="191" t="s">
        <v>82</v>
      </c>
      <c r="B47" s="192"/>
      <c r="C47" s="226">
        <f>+C37+C46</f>
        <v>2996.1545490000003</v>
      </c>
      <c r="D47" s="226">
        <f t="shared" ref="D47:F47" si="5">+D37+D46</f>
        <v>0</v>
      </c>
      <c r="E47" s="226">
        <f t="shared" si="5"/>
        <v>0</v>
      </c>
      <c r="F47" s="226">
        <f t="shared" si="5"/>
        <v>0</v>
      </c>
    </row>
    <row r="48" spans="1:6" x14ac:dyDescent="0.25">
      <c r="A48" s="426"/>
      <c r="B48" s="427"/>
      <c r="C48" s="224"/>
      <c r="D48" s="228"/>
      <c r="E48" s="229"/>
      <c r="F48" s="229"/>
    </row>
    <row r="49" spans="1:6" x14ac:dyDescent="0.25">
      <c r="A49" s="420" t="s">
        <v>298</v>
      </c>
      <c r="B49" s="421"/>
      <c r="C49" s="117"/>
      <c r="D49" s="117"/>
      <c r="E49" s="117"/>
      <c r="F49" s="117"/>
    </row>
    <row r="50" spans="1:6" x14ac:dyDescent="0.25">
      <c r="A50" s="420" t="s">
        <v>299</v>
      </c>
      <c r="B50" s="421"/>
      <c r="C50" s="117"/>
      <c r="D50" s="117"/>
      <c r="E50" s="117"/>
      <c r="F50" s="117"/>
    </row>
    <row r="51" spans="1:6" x14ac:dyDescent="0.25">
      <c r="A51" s="420" t="s">
        <v>300</v>
      </c>
      <c r="B51" s="421"/>
      <c r="C51" s="117"/>
      <c r="D51" s="117"/>
      <c r="E51" s="117"/>
      <c r="F51" s="117"/>
    </row>
    <row r="52" spans="1:6" x14ac:dyDescent="0.25">
      <c r="A52" s="420" t="s">
        <v>301</v>
      </c>
      <c r="B52" s="421"/>
      <c r="C52" s="117"/>
      <c r="D52" s="117"/>
      <c r="E52" s="117"/>
      <c r="F52" s="117"/>
    </row>
    <row r="53" spans="1:6" x14ac:dyDescent="0.25">
      <c r="A53" s="422" t="s">
        <v>302</v>
      </c>
      <c r="B53" s="423"/>
      <c r="C53" s="222">
        <f>+C63</f>
        <v>2.9221659999999998</v>
      </c>
      <c r="D53" s="117"/>
      <c r="E53" s="117"/>
      <c r="F53" s="117"/>
    </row>
    <row r="54" spans="1:6" x14ac:dyDescent="0.25">
      <c r="A54" s="422" t="s">
        <v>304</v>
      </c>
      <c r="B54" s="423"/>
      <c r="C54" s="222">
        <f>+C69</f>
        <v>80.506315999999998</v>
      </c>
      <c r="D54" s="117"/>
      <c r="E54" s="117"/>
      <c r="F54" s="117"/>
    </row>
    <row r="55" spans="1:6" x14ac:dyDescent="0.25">
      <c r="A55" s="422" t="s">
        <v>303</v>
      </c>
      <c r="B55" s="423"/>
      <c r="C55" s="222">
        <f>+C75</f>
        <v>96.266062000000005</v>
      </c>
      <c r="D55" s="117"/>
      <c r="E55" s="117"/>
      <c r="F55" s="117"/>
    </row>
    <row r="56" spans="1:6" x14ac:dyDescent="0.25">
      <c r="A56" s="39" t="s">
        <v>306</v>
      </c>
      <c r="B56" s="31"/>
      <c r="C56" s="223"/>
      <c r="D56" s="223"/>
      <c r="E56" s="223"/>
      <c r="F56" s="223"/>
    </row>
    <row r="57" spans="1:6" ht="15.75" thickBot="1" x14ac:dyDescent="0.3">
      <c r="A57" s="191" t="s">
        <v>305</v>
      </c>
      <c r="B57" s="192"/>
      <c r="C57" s="227">
        <f>+C27+C47-C53-C54-C55</f>
        <v>10990.022689999998</v>
      </c>
      <c r="D57" s="227">
        <f>SUM(D53:D56)</f>
        <v>0</v>
      </c>
      <c r="E57" s="226">
        <f>SUM(E53:E56)</f>
        <v>0</v>
      </c>
      <c r="F57" s="227">
        <f>SUM(F53:F56)</f>
        <v>0</v>
      </c>
    </row>
    <row r="58" spans="1:6" x14ac:dyDescent="0.25">
      <c r="A58" s="434" t="s">
        <v>307</v>
      </c>
      <c r="B58" s="435"/>
      <c r="C58" s="230"/>
      <c r="D58" s="230"/>
      <c r="E58" s="117"/>
      <c r="F58" s="230"/>
    </row>
    <row r="59" spans="1:6" x14ac:dyDescent="0.25">
      <c r="A59" s="420" t="s">
        <v>308</v>
      </c>
      <c r="B59" s="421"/>
      <c r="C59" s="222">
        <f>1216706/1000000</f>
        <v>1.2167060000000001</v>
      </c>
      <c r="D59" s="117"/>
      <c r="E59" s="117"/>
      <c r="F59" s="117"/>
    </row>
    <row r="60" spans="1:6" x14ac:dyDescent="0.25">
      <c r="A60" s="422" t="s">
        <v>309</v>
      </c>
      <c r="B60" s="423"/>
      <c r="C60" s="222">
        <f>-3367277/1000000</f>
        <v>-3.3672770000000001</v>
      </c>
      <c r="D60" s="117"/>
      <c r="E60" s="117"/>
      <c r="F60" s="117"/>
    </row>
    <row r="61" spans="1:6" x14ac:dyDescent="0.25">
      <c r="A61" s="422" t="s">
        <v>310</v>
      </c>
      <c r="B61" s="423"/>
      <c r="C61" s="222">
        <v>0</v>
      </c>
      <c r="D61" s="117"/>
      <c r="E61" s="117"/>
      <c r="F61" s="117"/>
    </row>
    <row r="62" spans="1:6" x14ac:dyDescent="0.25">
      <c r="A62" s="422" t="s">
        <v>311</v>
      </c>
      <c r="B62" s="423"/>
      <c r="C62" s="222">
        <f>5072737/1000000</f>
        <v>5.0727370000000001</v>
      </c>
      <c r="D62" s="117"/>
      <c r="E62" s="117"/>
      <c r="F62" s="117"/>
    </row>
    <row r="63" spans="1:6" ht="13.5" customHeight="1" x14ac:dyDescent="0.25">
      <c r="A63" s="422" t="s">
        <v>312</v>
      </c>
      <c r="B63" s="423"/>
      <c r="C63" s="222">
        <f>SUM(C59:C62)</f>
        <v>2.9221659999999998</v>
      </c>
      <c r="D63" s="222">
        <f t="shared" ref="D63:F63" si="6">SUM(D60:D62)</f>
        <v>0</v>
      </c>
      <c r="E63" s="222">
        <f t="shared" si="6"/>
        <v>0</v>
      </c>
      <c r="F63" s="222">
        <f t="shared" si="6"/>
        <v>0</v>
      </c>
    </row>
    <row r="64" spans="1:6" x14ac:dyDescent="0.25">
      <c r="A64" s="422"/>
      <c r="B64" s="423"/>
      <c r="C64" s="117"/>
      <c r="D64" s="117"/>
      <c r="E64" s="117"/>
      <c r="F64" s="117"/>
    </row>
    <row r="65" spans="1:6" x14ac:dyDescent="0.25">
      <c r="A65" s="420" t="s">
        <v>313</v>
      </c>
      <c r="B65" s="421"/>
      <c r="C65" s="117">
        <v>0</v>
      </c>
      <c r="D65" s="117"/>
      <c r="E65" s="117"/>
      <c r="F65" s="117"/>
    </row>
    <row r="66" spans="1:6" x14ac:dyDescent="0.25">
      <c r="A66" s="422" t="s">
        <v>309</v>
      </c>
      <c r="B66" s="423"/>
      <c r="C66" s="222">
        <f>76849604/1000000</f>
        <v>76.849603999999999</v>
      </c>
      <c r="D66" s="117"/>
      <c r="E66" s="117"/>
      <c r="F66" s="117"/>
    </row>
    <row r="67" spans="1:6" x14ac:dyDescent="0.25">
      <c r="A67" s="422" t="s">
        <v>310</v>
      </c>
      <c r="B67" s="423"/>
      <c r="C67" s="117">
        <v>0</v>
      </c>
      <c r="D67" s="117"/>
      <c r="E67" s="117"/>
      <c r="F67" s="117"/>
    </row>
    <row r="68" spans="1:6" x14ac:dyDescent="0.25">
      <c r="A68" s="422" t="s">
        <v>311</v>
      </c>
      <c r="B68" s="423"/>
      <c r="C68" s="222">
        <f>3656712/1000000</f>
        <v>3.6567120000000002</v>
      </c>
      <c r="D68" s="117"/>
      <c r="E68" s="117"/>
      <c r="F68" s="117"/>
    </row>
    <row r="69" spans="1:6" x14ac:dyDescent="0.25">
      <c r="A69" s="422" t="s">
        <v>312</v>
      </c>
      <c r="B69" s="423"/>
      <c r="C69" s="222">
        <f>SUM(C65:C68)</f>
        <v>80.506315999999998</v>
      </c>
      <c r="D69" s="222">
        <f t="shared" ref="D69" si="7">SUM(D66:D68)</f>
        <v>0</v>
      </c>
      <c r="E69" s="222">
        <f t="shared" ref="E69" si="8">SUM(E66:E68)</f>
        <v>0</v>
      </c>
      <c r="F69" s="222">
        <f t="shared" ref="F69" si="9">SUM(F66:F68)</f>
        <v>0</v>
      </c>
    </row>
    <row r="70" spans="1:6" x14ac:dyDescent="0.25">
      <c r="A70" s="422"/>
      <c r="B70" s="423"/>
      <c r="C70" s="117"/>
      <c r="D70" s="117"/>
      <c r="E70" s="117"/>
      <c r="F70" s="117"/>
    </row>
    <row r="71" spans="1:6" x14ac:dyDescent="0.25">
      <c r="A71" s="420" t="s">
        <v>314</v>
      </c>
      <c r="B71" s="421"/>
      <c r="C71" s="222">
        <f>96266062/1000000</f>
        <v>96.266062000000005</v>
      </c>
      <c r="D71" s="117"/>
      <c r="E71" s="117"/>
      <c r="F71" s="117"/>
    </row>
    <row r="72" spans="1:6" x14ac:dyDescent="0.25">
      <c r="A72" s="422" t="s">
        <v>309</v>
      </c>
      <c r="B72" s="423"/>
      <c r="C72" s="117">
        <v>0</v>
      </c>
      <c r="D72" s="117"/>
      <c r="E72" s="117"/>
      <c r="F72" s="117"/>
    </row>
    <row r="73" spans="1:6" x14ac:dyDescent="0.25">
      <c r="A73" s="422" t="s">
        <v>310</v>
      </c>
      <c r="B73" s="423"/>
      <c r="C73" s="117">
        <v>0</v>
      </c>
      <c r="D73" s="117"/>
      <c r="E73" s="117"/>
      <c r="F73" s="117"/>
    </row>
    <row r="74" spans="1:6" x14ac:dyDescent="0.25">
      <c r="A74" s="422" t="s">
        <v>311</v>
      </c>
      <c r="B74" s="423"/>
      <c r="C74" s="117">
        <v>0</v>
      </c>
      <c r="D74" s="117"/>
      <c r="E74" s="117"/>
      <c r="F74" s="117"/>
    </row>
    <row r="75" spans="1:6" x14ac:dyDescent="0.25">
      <c r="A75" s="422" t="s">
        <v>312</v>
      </c>
      <c r="B75" s="423"/>
      <c r="C75" s="222">
        <f>SUM(C71:C74)</f>
        <v>96.266062000000005</v>
      </c>
      <c r="D75" s="222">
        <f t="shared" ref="D75" si="10">SUM(D72:D74)</f>
        <v>0</v>
      </c>
      <c r="E75" s="222">
        <f t="shared" ref="E75" si="11">SUM(E72:E74)</f>
        <v>0</v>
      </c>
      <c r="F75" s="222">
        <f t="shared" ref="F75" si="12">SUM(F72:F74)</f>
        <v>0</v>
      </c>
    </row>
    <row r="76" spans="1:6" x14ac:dyDescent="0.25">
      <c r="A76" s="422"/>
      <c r="B76" s="423"/>
      <c r="C76" s="117"/>
      <c r="D76" s="117"/>
      <c r="E76" s="117"/>
      <c r="F76" s="117"/>
    </row>
    <row r="77" spans="1:6" ht="15.75" thickBot="1" x14ac:dyDescent="0.3">
      <c r="A77" s="194" t="s">
        <v>315</v>
      </c>
      <c r="B77" s="193"/>
      <c r="C77" s="226">
        <f>+C63+C69+C75</f>
        <v>179.69454400000001</v>
      </c>
      <c r="D77" s="226">
        <f t="shared" ref="D77:F77" si="13">+D63+D69+D75</f>
        <v>0</v>
      </c>
      <c r="E77" s="226">
        <f t="shared" si="13"/>
        <v>0</v>
      </c>
      <c r="F77" s="226">
        <f t="shared" si="13"/>
        <v>0</v>
      </c>
    </row>
  </sheetData>
  <mergeCells count="56">
    <mergeCell ref="A74:B74"/>
    <mergeCell ref="A75:B75"/>
    <mergeCell ref="A76:B76"/>
    <mergeCell ref="A69:B69"/>
    <mergeCell ref="A70:B70"/>
    <mergeCell ref="A71:B71"/>
    <mergeCell ref="A72:B72"/>
    <mergeCell ref="A73:B73"/>
    <mergeCell ref="A64:B64"/>
    <mergeCell ref="A65:B65"/>
    <mergeCell ref="A66:B66"/>
    <mergeCell ref="A67:B67"/>
    <mergeCell ref="A68:B68"/>
    <mergeCell ref="A58:B58"/>
    <mergeCell ref="A59:B59"/>
    <mergeCell ref="A60:B60"/>
    <mergeCell ref="A61:B61"/>
    <mergeCell ref="A63:B63"/>
    <mergeCell ref="A62:B6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1:F1"/>
    <mergeCell ref="A3:F3"/>
    <mergeCell ref="C5:D5"/>
    <mergeCell ref="E5:F5"/>
    <mergeCell ref="A12:B12"/>
    <mergeCell ref="A33:B33"/>
    <mergeCell ref="A34:B34"/>
    <mergeCell ref="A35:B35"/>
    <mergeCell ref="A50:B50"/>
    <mergeCell ref="A51:B51"/>
    <mergeCell ref="A36:B36"/>
    <mergeCell ref="A52:B52"/>
    <mergeCell ref="A44:B44"/>
    <mergeCell ref="A38:B38"/>
    <mergeCell ref="A48:B48"/>
    <mergeCell ref="A49:B49"/>
    <mergeCell ref="A40:B40"/>
    <mergeCell ref="A41:B41"/>
    <mergeCell ref="A42:B42"/>
    <mergeCell ref="A43:B43"/>
    <mergeCell ref="A45:B45"/>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workbookViewId="0">
      <selection activeCell="F14" sqref="F14"/>
    </sheetView>
  </sheetViews>
  <sheetFormatPr defaultRowHeight="15" x14ac:dyDescent="0.25"/>
  <cols>
    <col min="1" max="1" width="6.5703125" customWidth="1"/>
    <col min="2" max="2" width="33.28515625" customWidth="1"/>
    <col min="3" max="3" width="11.5703125" style="98" bestFit="1" customWidth="1"/>
    <col min="4" max="4" width="10.7109375" bestFit="1" customWidth="1"/>
    <col min="5" max="5" width="10.85546875" customWidth="1"/>
    <col min="6" max="6" width="11.28515625" customWidth="1"/>
    <col min="7" max="7" width="16.85546875" bestFit="1" customWidth="1"/>
    <col min="8" max="8" width="14.28515625" bestFit="1" customWidth="1"/>
    <col min="9" max="9" width="16" bestFit="1" customWidth="1"/>
    <col min="10" max="10" width="16.85546875" bestFit="1" customWidth="1"/>
    <col min="13" max="13" width="10.5703125" style="98" bestFit="1" customWidth="1"/>
    <col min="14" max="14" width="9.5703125" bestFit="1" customWidth="1"/>
  </cols>
  <sheetData>
    <row r="1" spans="1:13" s="3" customFormat="1" ht="15.75" x14ac:dyDescent="0.25">
      <c r="A1" s="343" t="s">
        <v>21</v>
      </c>
      <c r="B1" s="344"/>
      <c r="C1" s="344"/>
      <c r="D1" s="344"/>
      <c r="E1" s="344"/>
      <c r="F1" s="344"/>
      <c r="G1" s="173"/>
      <c r="H1" s="173"/>
      <c r="I1" s="173"/>
      <c r="J1" s="173"/>
      <c r="K1" s="4"/>
      <c r="M1" s="7"/>
    </row>
    <row r="2" spans="1:13" s="3" customFormat="1" ht="15.75" x14ac:dyDescent="0.25">
      <c r="A2" s="346" t="s">
        <v>283</v>
      </c>
      <c r="B2" s="347"/>
      <c r="C2" s="347"/>
      <c r="D2" s="347"/>
      <c r="E2" s="347"/>
      <c r="F2" s="347"/>
      <c r="G2" s="56"/>
      <c r="H2" s="56"/>
      <c r="I2" s="56"/>
      <c r="J2" s="56"/>
      <c r="K2" s="4"/>
      <c r="M2" s="7"/>
    </row>
    <row r="3" spans="1:13" s="3" customFormat="1" ht="15.75" x14ac:dyDescent="0.25">
      <c r="A3" s="346" t="s">
        <v>171</v>
      </c>
      <c r="B3" s="347"/>
      <c r="C3" s="347"/>
      <c r="D3" s="347"/>
      <c r="E3" s="347"/>
      <c r="F3" s="347"/>
      <c r="G3" s="56"/>
      <c r="H3" s="56"/>
      <c r="I3" s="56"/>
      <c r="J3" s="56"/>
      <c r="M3" s="7"/>
    </row>
    <row r="4" spans="1:13" ht="15.75" thickBot="1" x14ac:dyDescent="0.3"/>
    <row r="5" spans="1:13" x14ac:dyDescent="0.25">
      <c r="A5" s="34"/>
      <c r="B5" s="32"/>
      <c r="C5" s="437" t="s">
        <v>16</v>
      </c>
      <c r="D5" s="438"/>
      <c r="E5" s="437" t="s">
        <v>25</v>
      </c>
      <c r="F5" s="439"/>
    </row>
    <row r="6" spans="1:13" x14ac:dyDescent="0.25">
      <c r="A6" s="37" t="s">
        <v>188</v>
      </c>
      <c r="B6" s="36"/>
      <c r="C6" s="115" t="s">
        <v>17</v>
      </c>
      <c r="D6" s="72" t="s">
        <v>20</v>
      </c>
      <c r="E6" s="72" t="s">
        <v>17</v>
      </c>
      <c r="F6" s="75" t="s">
        <v>20</v>
      </c>
    </row>
    <row r="7" spans="1:13" x14ac:dyDescent="0.25">
      <c r="A7" s="37"/>
      <c r="B7" s="36"/>
      <c r="C7" s="116" t="s">
        <v>103</v>
      </c>
      <c r="D7" s="73" t="s">
        <v>105</v>
      </c>
      <c r="E7" s="73" t="s">
        <v>103</v>
      </c>
      <c r="F7" s="76" t="s">
        <v>105</v>
      </c>
    </row>
    <row r="8" spans="1:13" x14ac:dyDescent="0.25">
      <c r="A8" s="37"/>
      <c r="B8" s="36"/>
      <c r="C8" s="116" t="s">
        <v>102</v>
      </c>
      <c r="D8" s="73" t="s">
        <v>104</v>
      </c>
      <c r="E8" s="73" t="s">
        <v>102</v>
      </c>
      <c r="F8" s="76" t="s">
        <v>104</v>
      </c>
    </row>
    <row r="9" spans="1:13" x14ac:dyDescent="0.25">
      <c r="A9" s="38"/>
      <c r="B9" s="33"/>
      <c r="C9" s="232" t="s">
        <v>330</v>
      </c>
      <c r="D9" s="232" t="s">
        <v>166</v>
      </c>
      <c r="E9" s="232" t="s">
        <v>330</v>
      </c>
      <c r="F9" s="232" t="s">
        <v>166</v>
      </c>
    </row>
    <row r="10" spans="1:13" x14ac:dyDescent="0.25">
      <c r="A10" s="436" t="s">
        <v>106</v>
      </c>
      <c r="B10" s="436"/>
      <c r="C10" s="118"/>
      <c r="D10" s="118"/>
      <c r="E10" s="30"/>
      <c r="F10" s="30"/>
      <c r="M10" s="98">
        <f>+C11*1000</f>
        <v>89564.703929999974</v>
      </c>
    </row>
    <row r="11" spans="1:13" x14ac:dyDescent="0.25">
      <c r="A11" s="423" t="s">
        <v>109</v>
      </c>
      <c r="B11" s="423"/>
      <c r="C11" s="121">
        <f>(5439058.06+114840596.44-4423362.79-2763664.79-24007438.91-3257697.04-524210.36-13614.31+3251667.1+1023370.53)/1000000</f>
        <v>89.564703929999979</v>
      </c>
      <c r="D11" s="121">
        <f>+(314078267+33925)/1000000-D14-D20-D17</f>
        <v>107.68466918799993</v>
      </c>
      <c r="E11" s="30"/>
      <c r="F11" s="30"/>
      <c r="M11" s="98">
        <f t="shared" ref="M11:M13" si="0">+C12*1000</f>
        <v>57713.980130000004</v>
      </c>
    </row>
    <row r="12" spans="1:13" x14ac:dyDescent="0.25">
      <c r="A12" s="423" t="s">
        <v>110</v>
      </c>
      <c r="B12" s="423"/>
      <c r="C12" s="121">
        <f>(108503074.19-17065617.04-33964334.99+240388.53+469.44)/1000000</f>
        <v>57.713980130000003</v>
      </c>
      <c r="D12" s="121">
        <f>521624589/1000000-D18</f>
        <v>81.339352692000034</v>
      </c>
      <c r="E12" s="30"/>
      <c r="F12" s="30"/>
      <c r="M12" s="98">
        <f t="shared" si="0"/>
        <v>450076.28167</v>
      </c>
    </row>
    <row r="13" spans="1:13" x14ac:dyDescent="0.25">
      <c r="A13" s="423" t="s">
        <v>111</v>
      </c>
      <c r="B13" s="423"/>
      <c r="C13" s="121">
        <f>(15473378+637500+417674538.44+(17555093.73-1023370.53-240388.53-469.44))/1000000</f>
        <v>450.07628167000001</v>
      </c>
      <c r="D13" s="121">
        <f>4097610944/1000000-D19</f>
        <v>575.43347902000005</v>
      </c>
      <c r="E13" s="30"/>
      <c r="F13" s="30"/>
      <c r="M13" s="98">
        <f t="shared" si="0"/>
        <v>82238.032829999996</v>
      </c>
    </row>
    <row r="14" spans="1:13" x14ac:dyDescent="0.25">
      <c r="A14" s="423" t="s">
        <v>284</v>
      </c>
      <c r="B14" s="423"/>
      <c r="C14" s="71">
        <f>+(17065617.04+33964334.99+(4423362.79+2763664.79+24007438.91+13614.31))/1000000</f>
        <v>82.238032829999995</v>
      </c>
      <c r="D14" s="71">
        <f>(7051774.05+20256030.81+2763664.79+5240833.64+1977192.02+524210.36+13614.31)/1000000</f>
        <v>37.827319980000006</v>
      </c>
      <c r="E14" s="30"/>
      <c r="F14" s="30"/>
      <c r="M14" s="98">
        <f>SUM(M10:M13)</f>
        <v>679592.99855999998</v>
      </c>
    </row>
    <row r="15" spans="1:13" x14ac:dyDescent="0.25">
      <c r="A15" s="436" t="s">
        <v>107</v>
      </c>
      <c r="B15" s="436"/>
      <c r="C15" s="93">
        <f>SUM(C11:C14)</f>
        <v>679.59299855999996</v>
      </c>
      <c r="D15" s="93">
        <f>SUM(D11:D14)</f>
        <v>802.28482087999998</v>
      </c>
      <c r="E15" s="30"/>
      <c r="F15" s="30"/>
    </row>
    <row r="16" spans="1:13" x14ac:dyDescent="0.25">
      <c r="A16" s="436" t="s">
        <v>108</v>
      </c>
      <c r="B16" s="436"/>
      <c r="C16" s="71"/>
      <c r="D16" s="71"/>
      <c r="E16" s="30"/>
      <c r="F16" s="30"/>
      <c r="G16" s="237" t="s">
        <v>348</v>
      </c>
      <c r="H16" s="237" t="s">
        <v>349</v>
      </c>
      <c r="I16" s="238" t="s">
        <v>347</v>
      </c>
      <c r="J16" s="237"/>
      <c r="M16" s="98">
        <f>+C17*1000</f>
        <v>14466.602960000017</v>
      </c>
    </row>
    <row r="17" spans="1:15" x14ac:dyDescent="0.25">
      <c r="A17" s="423" t="s">
        <v>109</v>
      </c>
      <c r="B17" s="423"/>
      <c r="C17" s="71">
        <f>104031306.89/1000000-C11</f>
        <v>14.466602960000017</v>
      </c>
      <c r="D17" s="71">
        <f>149288.798642/1000</f>
        <v>149.28879864200002</v>
      </c>
      <c r="E17" s="30"/>
      <c r="F17" s="30"/>
      <c r="G17" s="98">
        <f>5439058.06+142525396.85+3251667.1</f>
        <v>151216122.00999999</v>
      </c>
      <c r="H17" s="98">
        <v>1023370.53</v>
      </c>
      <c r="I17" s="98">
        <f>-11144656.55-3154460.36-4425582.72-2763664.79-26706206.92-13614.31</f>
        <v>-48208185.650000006</v>
      </c>
      <c r="J17" s="98">
        <f>SUM(G17:I17)</f>
        <v>104031306.88999999</v>
      </c>
      <c r="K17" s="19">
        <f>+C11+C17</f>
        <v>104.03130689</v>
      </c>
      <c r="L17" s="19">
        <f>+K17-J17/1000000</f>
        <v>0</v>
      </c>
      <c r="M17" s="98">
        <f>+C18*1000</f>
        <v>425877.10547850002</v>
      </c>
    </row>
    <row r="18" spans="1:15" x14ac:dyDescent="0.25">
      <c r="A18" s="423" t="s">
        <v>110</v>
      </c>
      <c r="B18" s="423"/>
      <c r="C18" s="71">
        <f>483591085.6085/1000000-C12</f>
        <v>425.87710547850003</v>
      </c>
      <c r="D18" s="71">
        <f>440285.236308/1000</f>
        <v>440.28523630799998</v>
      </c>
      <c r="E18" s="30"/>
      <c r="F18" s="30"/>
      <c r="G18" s="98">
        <f>540839578.4</f>
        <v>540839578.39999998</v>
      </c>
      <c r="H18" s="98">
        <f>240388.53+469.44+4.51*175.35</f>
        <v>241648.7985</v>
      </c>
      <c r="I18" s="98">
        <f>-23525806.6-33964334.99</f>
        <v>-57490141.590000004</v>
      </c>
      <c r="J18" s="98">
        <f t="shared" ref="J18:J20" si="1">SUM(G18:I18)</f>
        <v>483591085.60849988</v>
      </c>
      <c r="K18" s="19">
        <f>+C12+C18</f>
        <v>483.59108560850001</v>
      </c>
      <c r="L18" s="19">
        <f t="shared" ref="L18:L20" si="2">+K18-J18/1000000</f>
        <v>0</v>
      </c>
      <c r="M18" s="98">
        <f t="shared" ref="M18:M19" si="3">+C19*1000</f>
        <v>1656319.7078745</v>
      </c>
    </row>
    <row r="19" spans="1:15" x14ac:dyDescent="0.25">
      <c r="A19" s="423" t="s">
        <v>111</v>
      </c>
      <c r="B19" s="423"/>
      <c r="C19" s="71">
        <f>2106395989.5445/1000000-C13</f>
        <v>1656.3197078745</v>
      </c>
      <c r="D19" s="71">
        <f>3522177.46498/1000</f>
        <v>3522.17746498</v>
      </c>
      <c r="E19" s="30"/>
      <c r="F19" s="30"/>
      <c r="G19" s="98">
        <f>1548239715.35+637500+528973560.18</f>
        <v>2077850775.53</v>
      </c>
      <c r="H19" s="98">
        <f>17555093.73-1023370.53-240388.53-469.44+(301.84+1505.98+16.9+68057.75)*175.35+457.67</f>
        <v>28545214.014500003</v>
      </c>
      <c r="I19" s="98">
        <v>0</v>
      </c>
      <c r="J19" s="98">
        <f t="shared" si="1"/>
        <v>2106395989.5444999</v>
      </c>
      <c r="K19" s="19">
        <f>+C13+C19</f>
        <v>2106.3959895445</v>
      </c>
      <c r="L19" s="19">
        <f t="shared" si="2"/>
        <v>0</v>
      </c>
      <c r="M19" s="98">
        <f t="shared" si="3"/>
        <v>9161.1775000000216</v>
      </c>
      <c r="N19" s="98">
        <v>9699.0021700000216</v>
      </c>
      <c r="O19" s="19">
        <f>+N19-M19</f>
        <v>537.82466999999997</v>
      </c>
    </row>
    <row r="20" spans="1:15" x14ac:dyDescent="0.25">
      <c r="A20" s="423" t="s">
        <v>284</v>
      </c>
      <c r="B20" s="423"/>
      <c r="C20" s="121">
        <f>(23525806.6+33964334.99+4425582.72+2763664.79+26706206.92+13614.31)/1000000-C14</f>
        <v>9.1611775000000222</v>
      </c>
      <c r="D20" s="121">
        <f>19311.40419/1000</f>
        <v>19.311404190000001</v>
      </c>
      <c r="E20" s="30"/>
      <c r="F20" s="30"/>
      <c r="G20" s="98">
        <f>23525806.6+33964334.99+4425582.72+2763664.79+26706206.92+13614.31</f>
        <v>91399210.330000013</v>
      </c>
      <c r="H20" s="98">
        <v>0</v>
      </c>
      <c r="I20" s="98">
        <v>0</v>
      </c>
      <c r="J20" s="98">
        <f t="shared" si="1"/>
        <v>91399210.330000013</v>
      </c>
      <c r="K20" s="19">
        <f>+C14+C20</f>
        <v>91.399210330000017</v>
      </c>
      <c r="L20" s="236">
        <f t="shared" si="2"/>
        <v>0</v>
      </c>
      <c r="M20" s="98">
        <f>SUM(M16:M19)</f>
        <v>2105824.5938130002</v>
      </c>
    </row>
    <row r="21" spans="1:15" x14ac:dyDescent="0.25">
      <c r="A21" s="436" t="s">
        <v>107</v>
      </c>
      <c r="B21" s="436"/>
      <c r="C21" s="93">
        <f>SUM(C17:C20)</f>
        <v>2105.8245938130003</v>
      </c>
      <c r="D21" s="93">
        <f>SUM(D17:D20)</f>
        <v>4131.06290412</v>
      </c>
      <c r="E21" s="30"/>
      <c r="F21" s="30"/>
      <c r="G21" s="239">
        <f>SUM(G17:G19)</f>
        <v>2769906475.9400001</v>
      </c>
      <c r="H21" s="239">
        <f>SUM(H17:H19)</f>
        <v>29810233.343000002</v>
      </c>
      <c r="I21" s="239">
        <f>SUM(I17:I20)</f>
        <v>-105698327.24000001</v>
      </c>
      <c r="J21" s="239">
        <f>SUM(J17:J20)</f>
        <v>2785417592.3729997</v>
      </c>
    </row>
    <row r="22" spans="1:15" x14ac:dyDescent="0.25">
      <c r="A22" s="436" t="s">
        <v>82</v>
      </c>
      <c r="B22" s="436"/>
      <c r="C22" s="93">
        <f>+C15+C21</f>
        <v>2785.4175923730004</v>
      </c>
      <c r="D22" s="93">
        <f>+D15+D21</f>
        <v>4933.3477249999996</v>
      </c>
      <c r="E22" s="30"/>
      <c r="F22" s="30"/>
      <c r="G22" s="239">
        <v>2769906475.9299998</v>
      </c>
      <c r="H22" s="239">
        <v>29810233.34</v>
      </c>
      <c r="I22" s="239">
        <f>23525806.6+33964334.99+4425582.72+2763664.79+26706206.92+11144656.55+3154460.36+13614.31</f>
        <v>105698327.24000001</v>
      </c>
      <c r="J22" s="239">
        <v>2785417592</v>
      </c>
    </row>
    <row r="23" spans="1:15" x14ac:dyDescent="0.25">
      <c r="A23" s="14"/>
      <c r="B23" s="19"/>
      <c r="C23" s="119"/>
      <c r="D23" s="14"/>
      <c r="E23" s="14"/>
      <c r="F23" s="14"/>
      <c r="G23" s="19">
        <f>+G21-G22</f>
        <v>1.0000228881835937E-2</v>
      </c>
      <c r="H23" s="240">
        <f>+H21-H22</f>
        <v>3.0000023543834686E-3</v>
      </c>
      <c r="I23" s="241">
        <f>+I21+I22</f>
        <v>0</v>
      </c>
      <c r="J23" s="240">
        <f>+J21-J22</f>
        <v>0.37299966812133789</v>
      </c>
    </row>
    <row r="25" spans="1:15" x14ac:dyDescent="0.25">
      <c r="C25" s="16"/>
      <c r="D25" s="16"/>
      <c r="F25" s="19"/>
      <c r="J25" s="19">
        <f>+J21+J18</f>
        <v>3269008677.9814997</v>
      </c>
    </row>
    <row r="26" spans="1:15" x14ac:dyDescent="0.25">
      <c r="C26" s="16"/>
      <c r="D26" s="16"/>
      <c r="F26" s="19"/>
      <c r="H26" s="19"/>
      <c r="I26" s="19"/>
    </row>
    <row r="27" spans="1:15" x14ac:dyDescent="0.25">
      <c r="B27" s="113">
        <v>665819812.23000002</v>
      </c>
      <c r="C27" s="16"/>
      <c r="D27" s="16"/>
      <c r="F27" s="19"/>
      <c r="H27" s="19"/>
      <c r="I27" s="19"/>
    </row>
    <row r="28" spans="1:15" x14ac:dyDescent="0.25">
      <c r="B28" s="235">
        <v>17555093.73</v>
      </c>
      <c r="C28" s="17"/>
      <c r="D28" s="17"/>
      <c r="F28" s="19"/>
      <c r="H28" s="19"/>
      <c r="I28" s="19"/>
    </row>
    <row r="29" spans="1:15" x14ac:dyDescent="0.25">
      <c r="B29" s="235">
        <v>-524210.36</v>
      </c>
      <c r="C29" s="119"/>
      <c r="D29" s="20"/>
      <c r="E29" s="19"/>
      <c r="F29" s="19"/>
      <c r="H29" s="19"/>
      <c r="I29" s="19"/>
    </row>
    <row r="30" spans="1:15" x14ac:dyDescent="0.25">
      <c r="B30" s="235">
        <v>-3257697.04</v>
      </c>
      <c r="E30" s="19"/>
      <c r="G30" s="19"/>
      <c r="H30" s="19"/>
      <c r="I30" s="19"/>
    </row>
    <row r="31" spans="1:15" x14ac:dyDescent="0.25">
      <c r="B31" s="235">
        <f>SUM(B27:B30)</f>
        <v>679592998.56000006</v>
      </c>
    </row>
    <row r="32" spans="1:15" x14ac:dyDescent="0.25">
      <c r="B32" s="113">
        <v>691848138</v>
      </c>
    </row>
    <row r="33" spans="2:2" x14ac:dyDescent="0.25">
      <c r="B33" s="113">
        <f>+B31-B32</f>
        <v>-12255139.439999938</v>
      </c>
    </row>
    <row r="34" spans="2:2" x14ac:dyDescent="0.25">
      <c r="B34" s="113"/>
    </row>
    <row r="35" spans="2:2" x14ac:dyDescent="0.25">
      <c r="B35" s="234">
        <v>2769906475.9299998</v>
      </c>
    </row>
    <row r="36" spans="2:2" x14ac:dyDescent="0.25">
      <c r="B36" s="234">
        <v>29810233.34</v>
      </c>
    </row>
    <row r="37" spans="2:2" x14ac:dyDescent="0.25">
      <c r="B37" s="234">
        <v>-11144656.550000001</v>
      </c>
    </row>
    <row r="38" spans="2:2" x14ac:dyDescent="0.25">
      <c r="B38" s="234">
        <v>-3154460.36</v>
      </c>
    </row>
    <row r="39" spans="2:2" x14ac:dyDescent="0.25">
      <c r="B39" s="234">
        <f>SUM(B35:B38)</f>
        <v>2785417592.3599997</v>
      </c>
    </row>
  </sheetData>
  <mergeCells count="18">
    <mergeCell ref="A21:B21"/>
    <mergeCell ref="A22:B22"/>
    <mergeCell ref="C5:D5"/>
    <mergeCell ref="E5:F5"/>
    <mergeCell ref="A10:B10"/>
    <mergeCell ref="A15:B15"/>
    <mergeCell ref="A16:B16"/>
    <mergeCell ref="A11:B11"/>
    <mergeCell ref="A12:B12"/>
    <mergeCell ref="A19:B19"/>
    <mergeCell ref="A20:B20"/>
    <mergeCell ref="A13:B13"/>
    <mergeCell ref="A14:B14"/>
    <mergeCell ref="A17:B17"/>
    <mergeCell ref="A18:B18"/>
    <mergeCell ref="A1:F1"/>
    <mergeCell ref="A2:F2"/>
    <mergeCell ref="A3:F3"/>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IOB</cp:lastModifiedBy>
  <cp:lastPrinted>2020-07-15T05:44:01Z</cp:lastPrinted>
  <dcterms:created xsi:type="dcterms:W3CDTF">2013-06-10T08:59:36Z</dcterms:created>
  <dcterms:modified xsi:type="dcterms:W3CDTF">2020-07-15T06:57:22Z</dcterms:modified>
</cp:coreProperties>
</file>