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P\Desktop\"/>
    </mc:Choice>
  </mc:AlternateContent>
  <bookViews>
    <workbookView xWindow="240" yWindow="15" windowWidth="15480" windowHeight="8130" tabRatio="632"/>
  </bookViews>
  <sheets>
    <sheet name="INCOME-I" sheetId="1" r:id="rId1"/>
    <sheet name="INCOME-II" sheetId="2" r:id="rId2"/>
    <sheet name="FINANCIAL POSITION" sheetId="3" r:id="rId3"/>
    <sheet name="CHANGES IN EQUITY" sheetId="4" r:id="rId4"/>
    <sheet name="CASH FLOW" sheetId="11" r:id="rId5"/>
    <sheet name="SELECTED PERFORMANCE INDICATORS" sheetId="7" r:id="rId6"/>
    <sheet name="FINANCIAL INSTRUMENTS" sheetId="6" state="hidden" r:id="rId7"/>
    <sheet name="LOANS &amp; RECEIVABLES" sheetId="8" state="hidden" r:id="rId8"/>
    <sheet name="DEPOSITS" sheetId="10" state="hidden" r:id="rId9"/>
  </sheets>
  <definedNames>
    <definedName name="_xlnm.Print_Area" localSheetId="4">'CASH FLOW'!$A$1:$E$63</definedName>
    <definedName name="_xlnm.Print_Area" localSheetId="3">'CHANGES IN EQUITY'!$A$1:$L$29,'CHANGES IN EQUITY'!$A$33:$L$58</definedName>
    <definedName name="_xlnm.Print_Area" localSheetId="8">DEPOSITS!$A$1:$F$22</definedName>
    <definedName name="_xlnm.Print_Area" localSheetId="6">'FINANCIAL INSTRUMENTS'!$A$1:$K$129</definedName>
    <definedName name="_xlnm.Print_Area" localSheetId="2">'FINANCIAL POSITION'!$A$1:$E$65</definedName>
    <definedName name="_xlnm.Print_Area" localSheetId="0">'INCOME-I'!$B$1:$F$48</definedName>
    <definedName name="_xlnm.Print_Area" localSheetId="1">'INCOME-II'!$A$1:$E$41</definedName>
    <definedName name="_xlnm.Print_Area" localSheetId="7">'LOANS &amp; RECEIVABLES'!$A$1:$F$79</definedName>
    <definedName name="_xlnm.Print_Area" localSheetId="5">'SELECTED PERFORMANCE INDICATORS'!$A$1:$E$66</definedName>
  </definedNames>
  <calcPr calcId="152511"/>
</workbook>
</file>

<file path=xl/calcChain.xml><?xml version="1.0" encoding="utf-8"?>
<calcChain xmlns="http://schemas.openxmlformats.org/spreadsheetml/2006/main">
  <c r="H22" i="3" l="1"/>
  <c r="H21" i="3"/>
  <c r="B32" i="3"/>
  <c r="B60" i="3" l="1"/>
  <c r="C19" i="1" l="1"/>
  <c r="C29" i="1"/>
  <c r="C31" i="1" s="1"/>
  <c r="C16" i="1"/>
  <c r="B13" i="3"/>
  <c r="J10" i="4" l="1"/>
  <c r="E32" i="3"/>
  <c r="B57" i="3" l="1"/>
  <c r="L10" i="4"/>
  <c r="I14" i="4"/>
  <c r="B30" i="11" l="1"/>
  <c r="B61" i="11"/>
  <c r="I56" i="4"/>
  <c r="I47" i="4"/>
  <c r="J47" i="4" s="1"/>
  <c r="G57" i="4"/>
  <c r="G54" i="4"/>
  <c r="H51" i="4"/>
  <c r="H41" i="4"/>
  <c r="B47" i="4"/>
  <c r="D61" i="3"/>
  <c r="D56" i="3"/>
  <c r="D53" i="3"/>
  <c r="D52" i="3"/>
  <c r="D48" i="3"/>
  <c r="D34" i="3"/>
  <c r="D46" i="3"/>
  <c r="D44" i="3"/>
  <c r="D40" i="3"/>
  <c r="D31" i="3"/>
  <c r="D30" i="3"/>
  <c r="D27" i="3"/>
  <c r="D23" i="3"/>
  <c r="D22" i="3"/>
  <c r="D21" i="3"/>
  <c r="D15" i="3"/>
  <c r="D14" i="3"/>
  <c r="D13" i="3"/>
  <c r="F44" i="1" l="1"/>
  <c r="F17" i="1"/>
  <c r="F16" i="1"/>
  <c r="F19" i="1"/>
  <c r="F29" i="1" s="1"/>
  <c r="F31" i="1" s="1"/>
  <c r="F35" i="1" s="1"/>
  <c r="E44" i="1"/>
  <c r="E41" i="1"/>
  <c r="E34" i="1"/>
  <c r="E32" i="1"/>
  <c r="E33" i="1"/>
  <c r="E30" i="1"/>
  <c r="E29" i="1" l="1"/>
  <c r="E20" i="1"/>
  <c r="E28" i="1"/>
  <c r="E17" i="1"/>
  <c r="E15" i="1"/>
  <c r="E14" i="1" l="1"/>
  <c r="B26" i="7" l="1"/>
  <c r="B21" i="7" l="1"/>
  <c r="B47" i="3" l="1"/>
  <c r="B22" i="11" l="1"/>
  <c r="B23" i="11"/>
  <c r="B33" i="11" l="1"/>
  <c r="B29" i="11"/>
  <c r="B27" i="11"/>
  <c r="B24" i="11"/>
  <c r="B34" i="11" s="1"/>
  <c r="B18" i="11"/>
  <c r="B15" i="11"/>
  <c r="B16" i="11"/>
  <c r="B17" i="11"/>
  <c r="B14" i="11"/>
  <c r="B13" i="11"/>
  <c r="B12" i="11"/>
  <c r="B11" i="11"/>
  <c r="E28" i="4"/>
  <c r="B19" i="11" l="1"/>
  <c r="B46" i="3"/>
  <c r="B45" i="3"/>
  <c r="B44" i="3"/>
  <c r="B40" i="3"/>
  <c r="B34" i="3"/>
  <c r="B59" i="3" l="1"/>
  <c r="B50" i="3"/>
  <c r="B23" i="3"/>
  <c r="B119" i="6" l="1"/>
  <c r="D119" i="6"/>
  <c r="B122" i="6"/>
  <c r="B126" i="6"/>
  <c r="D126" i="6"/>
  <c r="J23" i="8"/>
  <c r="I25" i="8"/>
  <c r="C20" i="10"/>
  <c r="C19" i="10"/>
  <c r="C18" i="10"/>
  <c r="C17" i="10"/>
  <c r="C14" i="10"/>
  <c r="C13" i="10"/>
  <c r="C12" i="10"/>
  <c r="C11" i="10"/>
  <c r="C18" i="8"/>
  <c r="C14" i="8"/>
  <c r="C13" i="8"/>
  <c r="C23" i="8"/>
  <c r="C26" i="8"/>
  <c r="L37" i="8"/>
  <c r="J34" i="8"/>
  <c r="J36" i="8"/>
  <c r="J35" i="8"/>
  <c r="K37" i="8"/>
  <c r="H37" i="8"/>
  <c r="I37" i="8"/>
  <c r="C60" i="8"/>
  <c r="D70" i="8"/>
  <c r="D60" i="8"/>
  <c r="C64" i="8"/>
  <c r="C76" i="8"/>
  <c r="C62" i="8"/>
  <c r="C73" i="8"/>
  <c r="D76" i="8"/>
  <c r="D78" i="8"/>
  <c r="C56" i="8"/>
  <c r="C54" i="8"/>
  <c r="C45" i="8"/>
  <c r="C44" i="8"/>
  <c r="C38" i="8"/>
  <c r="C34" i="8"/>
  <c r="H22" i="8"/>
  <c r="D28" i="8"/>
  <c r="C27" i="8"/>
  <c r="C19" i="8"/>
  <c r="C28" i="8"/>
  <c r="C35" i="1"/>
  <c r="C38" i="1" s="1"/>
  <c r="C40" i="1" s="1"/>
  <c r="G30" i="11"/>
  <c r="G34" i="11"/>
  <c r="D30" i="11"/>
  <c r="D24" i="11"/>
  <c r="D33" i="11"/>
  <c r="D60" i="11"/>
  <c r="D61" i="11"/>
  <c r="D63" i="11"/>
  <c r="D37" i="11"/>
  <c r="D38" i="11"/>
  <c r="D46" i="11"/>
  <c r="D57" i="11"/>
  <c r="D49" i="11"/>
  <c r="D58" i="11"/>
  <c r="D53" i="11"/>
  <c r="D11" i="11"/>
  <c r="D12" i="11"/>
  <c r="D13" i="11"/>
  <c r="D14" i="11"/>
  <c r="D15" i="11"/>
  <c r="D16" i="11"/>
  <c r="D17" i="11"/>
  <c r="D44" i="8"/>
  <c r="D45" i="8"/>
  <c r="D23" i="8"/>
  <c r="D26" i="8"/>
  <c r="D18" i="8"/>
  <c r="D13" i="8"/>
  <c r="D34" i="8"/>
  <c r="D38" i="8"/>
  <c r="D61" i="8"/>
  <c r="D62" i="8"/>
  <c r="C61" i="8"/>
  <c r="C72" i="8"/>
  <c r="C126" i="6"/>
  <c r="C94" i="6"/>
  <c r="C62" i="6"/>
  <c r="D115" i="6"/>
  <c r="C115" i="6"/>
  <c r="D83" i="6"/>
  <c r="C83" i="6"/>
  <c r="D50" i="6"/>
  <c r="C50" i="6"/>
  <c r="B47" i="6"/>
  <c r="B46" i="6"/>
  <c r="B112" i="6"/>
  <c r="B111" i="6"/>
  <c r="B109" i="6"/>
  <c r="B108" i="6"/>
  <c r="B107" i="6"/>
  <c r="B90" i="6"/>
  <c r="B87" i="6"/>
  <c r="B94" i="6" s="1"/>
  <c r="D94" i="6" s="1"/>
  <c r="B77" i="6"/>
  <c r="B76" i="6"/>
  <c r="B75" i="6"/>
  <c r="E75" i="6" s="1"/>
  <c r="B80" i="6"/>
  <c r="B79" i="6"/>
  <c r="B58" i="6"/>
  <c r="B55" i="6"/>
  <c r="B62" i="6"/>
  <c r="D62" i="6"/>
  <c r="B43" i="6"/>
  <c r="B42" i="6"/>
  <c r="B50" i="6"/>
  <c r="B25" i="6"/>
  <c r="B22" i="6"/>
  <c r="D22" i="6" s="1"/>
  <c r="D15" i="6"/>
  <c r="B14" i="6"/>
  <c r="E14" i="6" s="1"/>
  <c r="B13" i="6"/>
  <c r="B10" i="6"/>
  <c r="B9" i="6"/>
  <c r="E9" i="6" s="1"/>
  <c r="B115" i="6"/>
  <c r="C67" i="8"/>
  <c r="C66" i="8"/>
  <c r="D75" i="8"/>
  <c r="D72" i="8"/>
  <c r="D67" i="8"/>
  <c r="D66" i="8"/>
  <c r="D55" i="8"/>
  <c r="D64" i="8"/>
  <c r="D56" i="8"/>
  <c r="D54" i="8"/>
  <c r="D19" i="8"/>
  <c r="D20" i="10"/>
  <c r="D19" i="10"/>
  <c r="D18" i="10"/>
  <c r="D17" i="10"/>
  <c r="D15" i="10"/>
  <c r="D14" i="10"/>
  <c r="D13" i="10"/>
  <c r="D12" i="10"/>
  <c r="D11" i="10"/>
  <c r="C12" i="2"/>
  <c r="F13" i="4"/>
  <c r="F14" i="4" s="1"/>
  <c r="D32" i="3"/>
  <c r="D57" i="3"/>
  <c r="D59" i="3" s="1"/>
  <c r="D47" i="3"/>
  <c r="D50" i="3"/>
  <c r="I29" i="4"/>
  <c r="G14" i="4"/>
  <c r="G29" i="4" s="1"/>
  <c r="C47" i="8"/>
  <c r="E38" i="8"/>
  <c r="E47" i="8"/>
  <c r="E48" i="8"/>
  <c r="F38" i="8"/>
  <c r="F47" i="8"/>
  <c r="F48" i="8"/>
  <c r="C48" i="8"/>
  <c r="E19" i="8"/>
  <c r="E27" i="8"/>
  <c r="E28" i="8"/>
  <c r="F19" i="8"/>
  <c r="F27" i="8"/>
  <c r="F28" i="8"/>
  <c r="C70" i="8"/>
  <c r="C55" i="8"/>
  <c r="C78" i="8"/>
  <c r="C15" i="10"/>
  <c r="D61" i="6"/>
  <c r="D60" i="6"/>
  <c r="D58" i="6"/>
  <c r="D57" i="6"/>
  <c r="D56" i="6"/>
  <c r="D55" i="6"/>
  <c r="E49" i="6"/>
  <c r="E48" i="6"/>
  <c r="E47" i="6"/>
  <c r="E46" i="6"/>
  <c r="E45" i="6"/>
  <c r="E44" i="6"/>
  <c r="E43" i="6"/>
  <c r="E42" i="6"/>
  <c r="E50" i="6"/>
  <c r="B59" i="6"/>
  <c r="D48" i="6"/>
  <c r="D59" i="6"/>
  <c r="K29" i="4"/>
  <c r="L27" i="4"/>
  <c r="L25" i="4"/>
  <c r="L24" i="4"/>
  <c r="L23" i="4"/>
  <c r="L21" i="4"/>
  <c r="L20" i="4"/>
  <c r="L19" i="4"/>
  <c r="L18" i="4"/>
  <c r="K14" i="4"/>
  <c r="B14" i="4"/>
  <c r="B29" i="4" s="1"/>
  <c r="J27" i="4"/>
  <c r="J25" i="4"/>
  <c r="J24" i="4"/>
  <c r="J23" i="4"/>
  <c r="J21" i="4"/>
  <c r="J20" i="4"/>
  <c r="J19" i="4"/>
  <c r="J18" i="4"/>
  <c r="I28" i="4"/>
  <c r="C28" i="4"/>
  <c r="D28" i="4"/>
  <c r="F28" i="4"/>
  <c r="G28" i="4"/>
  <c r="B28" i="4"/>
  <c r="F57" i="4"/>
  <c r="F58" i="4"/>
  <c r="L50" i="4"/>
  <c r="L42" i="4"/>
  <c r="J48" i="4"/>
  <c r="L48" i="4"/>
  <c r="J49" i="4"/>
  <c r="L49" i="4"/>
  <c r="J50" i="4"/>
  <c r="J51" i="4"/>
  <c r="L51" i="4" s="1"/>
  <c r="J52" i="4"/>
  <c r="L52" i="4"/>
  <c r="J53" i="4"/>
  <c r="L53" i="4"/>
  <c r="J54" i="4"/>
  <c r="L54" i="4" s="1"/>
  <c r="J56" i="4"/>
  <c r="L56" i="4" s="1"/>
  <c r="J42" i="4"/>
  <c r="J41" i="4"/>
  <c r="L41" i="4" s="1"/>
  <c r="F43" i="4"/>
  <c r="H38" i="1"/>
  <c r="B46" i="11"/>
  <c r="B58" i="11"/>
  <c r="C14" i="4"/>
  <c r="C29" i="4" s="1"/>
  <c r="D29" i="4"/>
  <c r="E14" i="4"/>
  <c r="E29" i="4" s="1"/>
  <c r="E19" i="1"/>
  <c r="E16" i="1"/>
  <c r="E31" i="1"/>
  <c r="E35" i="1" s="1"/>
  <c r="E38" i="1" s="1"/>
  <c r="E40" i="1" s="1"/>
  <c r="E42" i="1" s="1"/>
  <c r="E64" i="8"/>
  <c r="E70" i="8"/>
  <c r="E76" i="8"/>
  <c r="E78" i="8"/>
  <c r="F64" i="8"/>
  <c r="F70" i="8"/>
  <c r="F76" i="8"/>
  <c r="F78" i="8"/>
  <c r="F58" i="8"/>
  <c r="E58" i="8"/>
  <c r="D47" i="8"/>
  <c r="D48" i="8"/>
  <c r="D27" i="8"/>
  <c r="D58" i="8"/>
  <c r="C58" i="8"/>
  <c r="E37" i="2"/>
  <c r="E12" i="2"/>
  <c r="D21" i="10"/>
  <c r="D22" i="10"/>
  <c r="D125" i="6"/>
  <c r="D124" i="6"/>
  <c r="D123" i="6"/>
  <c r="D122" i="6"/>
  <c r="D121" i="6"/>
  <c r="D120" i="6"/>
  <c r="E114" i="6"/>
  <c r="E113" i="6"/>
  <c r="E112" i="6"/>
  <c r="E111" i="6"/>
  <c r="E110" i="6"/>
  <c r="E109" i="6"/>
  <c r="E108" i="6"/>
  <c r="E107" i="6"/>
  <c r="E115" i="6"/>
  <c r="H22" i="4"/>
  <c r="H28" i="4" s="1"/>
  <c r="J28" i="4" s="1"/>
  <c r="L28" i="4" s="1"/>
  <c r="J22" i="4"/>
  <c r="L22" i="4"/>
  <c r="C29" i="6"/>
  <c r="D17" i="6"/>
  <c r="C21" i="10"/>
  <c r="H43" i="4"/>
  <c r="I43" i="4"/>
  <c r="K57" i="4"/>
  <c r="I57" i="4"/>
  <c r="I58" i="4" s="1"/>
  <c r="H57" i="4"/>
  <c r="E57" i="4"/>
  <c r="D57" i="4"/>
  <c r="C57" i="4"/>
  <c r="B57" i="4"/>
  <c r="B58" i="4" s="1"/>
  <c r="K43" i="4"/>
  <c r="G43" i="4"/>
  <c r="E43" i="4"/>
  <c r="E58" i="4" s="1"/>
  <c r="D43" i="4"/>
  <c r="C43" i="4"/>
  <c r="C58" i="4"/>
  <c r="B43" i="4"/>
  <c r="D58" i="4"/>
  <c r="K58" i="4"/>
  <c r="C22" i="10"/>
  <c r="D93" i="6"/>
  <c r="D92" i="6"/>
  <c r="D91" i="6"/>
  <c r="D90" i="6"/>
  <c r="D89" i="6"/>
  <c r="D88" i="6"/>
  <c r="D87" i="6"/>
  <c r="E82" i="6"/>
  <c r="E81" i="6"/>
  <c r="E80" i="6"/>
  <c r="E79" i="6"/>
  <c r="E78" i="6"/>
  <c r="E77" i="6"/>
  <c r="E76" i="6"/>
  <c r="B37" i="2"/>
  <c r="B26" i="6"/>
  <c r="E15" i="6"/>
  <c r="C17" i="6"/>
  <c r="E13" i="6"/>
  <c r="E11" i="6"/>
  <c r="E10" i="6"/>
  <c r="E12" i="6"/>
  <c r="D37" i="2"/>
  <c r="D23" i="6"/>
  <c r="D25" i="6"/>
  <c r="D27" i="6"/>
  <c r="D28" i="6"/>
  <c r="E16" i="6"/>
  <c r="D26" i="6"/>
  <c r="J37" i="8"/>
  <c r="J13" i="4" l="1"/>
  <c r="L13" i="4" s="1"/>
  <c r="F29" i="4"/>
  <c r="J57" i="4"/>
  <c r="G58" i="4"/>
  <c r="H58" i="4"/>
  <c r="J43" i="4"/>
  <c r="L47" i="4"/>
  <c r="L57" i="4" s="1"/>
  <c r="J58" i="4"/>
  <c r="L58" i="4" s="1"/>
  <c r="D60" i="3"/>
  <c r="E83" i="6"/>
  <c r="B83" i="6"/>
  <c r="D19" i="11"/>
  <c r="D34" i="11" s="1"/>
  <c r="D12" i="2"/>
  <c r="D39" i="2" s="1"/>
  <c r="D40" i="2" s="1"/>
  <c r="B60" i="11"/>
  <c r="B63" i="11" s="1"/>
  <c r="L43" i="4"/>
  <c r="B17" i="6"/>
  <c r="E17" i="6"/>
  <c r="B29" i="6"/>
  <c r="D29" i="6" s="1"/>
  <c r="C42" i="1"/>
  <c r="C44" i="1" s="1"/>
  <c r="H12" i="4" l="1"/>
  <c r="B12" i="2"/>
  <c r="B39" i="2" l="1"/>
  <c r="B40" i="2" s="1"/>
  <c r="H14" i="4"/>
  <c r="J12" i="4"/>
  <c r="L12" i="4" s="1"/>
  <c r="J14" i="4" l="1"/>
  <c r="L14" i="4" s="1"/>
  <c r="L29" i="4" s="1"/>
  <c r="H29" i="4"/>
  <c r="J29" i="4" s="1"/>
</calcChain>
</file>

<file path=xl/comments1.xml><?xml version="1.0" encoding="utf-8"?>
<comments xmlns="http://schemas.openxmlformats.org/spreadsheetml/2006/main">
  <authors>
    <author>user</author>
  </authors>
  <commentList>
    <comment ref="J10" authorId="0" shapeId="0">
      <text>
        <r>
          <rPr>
            <b/>
            <sz val="9"/>
            <color indexed="81"/>
            <rFont val="Tahoma"/>
            <family val="2"/>
          </rPr>
          <t>9604</t>
        </r>
        <r>
          <rPr>
            <sz val="9"/>
            <color indexed="81"/>
            <rFont val="Tahoma"/>
            <family val="2"/>
          </rPr>
          <t xml:space="preserve">
</t>
        </r>
      </text>
    </comment>
    <comment ref="L10" authorId="0" shapeId="0">
      <text>
        <r>
          <rPr>
            <b/>
            <sz val="9"/>
            <color indexed="81"/>
            <rFont val="Tahoma"/>
            <family val="2"/>
          </rPr>
          <t>9604</t>
        </r>
        <r>
          <rPr>
            <sz val="9"/>
            <color indexed="81"/>
            <rFont val="Tahoma"/>
            <family val="2"/>
          </rPr>
          <t xml:space="preserve">
</t>
        </r>
      </text>
    </comment>
    <comment ref="J14" authorId="0" shapeId="0">
      <text>
        <r>
          <rPr>
            <b/>
            <sz val="9"/>
            <color indexed="81"/>
            <rFont val="Tahoma"/>
            <family val="2"/>
          </rPr>
          <t>9604</t>
        </r>
        <r>
          <rPr>
            <sz val="9"/>
            <color indexed="81"/>
            <rFont val="Tahoma"/>
            <family val="2"/>
          </rPr>
          <t xml:space="preserve">
</t>
        </r>
      </text>
    </comment>
    <comment ref="L14" authorId="0" shapeId="0">
      <text>
        <r>
          <rPr>
            <b/>
            <sz val="9"/>
            <color indexed="81"/>
            <rFont val="Tahoma"/>
            <family val="2"/>
          </rPr>
          <t>9604</t>
        </r>
        <r>
          <rPr>
            <sz val="9"/>
            <color indexed="81"/>
            <rFont val="Tahoma"/>
            <family val="2"/>
          </rPr>
          <t xml:space="preserve">
</t>
        </r>
      </text>
    </comment>
    <comment ref="J29" authorId="0" shapeId="0">
      <text>
        <r>
          <rPr>
            <b/>
            <sz val="9"/>
            <color indexed="81"/>
            <rFont val="Tahoma"/>
            <family val="2"/>
          </rPr>
          <t>9604</t>
        </r>
        <r>
          <rPr>
            <sz val="9"/>
            <color indexed="81"/>
            <rFont val="Tahoma"/>
            <family val="2"/>
          </rPr>
          <t xml:space="preserve">
</t>
        </r>
      </text>
    </comment>
    <comment ref="L29" authorId="0" shapeId="0">
      <text>
        <r>
          <rPr>
            <b/>
            <sz val="9"/>
            <color indexed="81"/>
            <rFont val="Tahoma"/>
            <family val="2"/>
          </rPr>
          <t>9604</t>
        </r>
        <r>
          <rPr>
            <sz val="9"/>
            <color indexed="81"/>
            <rFont val="Tahoma"/>
            <family val="2"/>
          </rPr>
          <t xml:space="preserve">
</t>
        </r>
      </text>
    </comment>
  </commentList>
</comments>
</file>

<file path=xl/sharedStrings.xml><?xml version="1.0" encoding="utf-8"?>
<sst xmlns="http://schemas.openxmlformats.org/spreadsheetml/2006/main" count="702" uniqueCount="365">
  <si>
    <t xml:space="preserve">INCOME STATEMENT </t>
  </si>
  <si>
    <t>Interest Income</t>
  </si>
  <si>
    <t>Interest expenses</t>
  </si>
  <si>
    <t>Net Interest income</t>
  </si>
  <si>
    <t xml:space="preserve">Fee and Commission income </t>
  </si>
  <si>
    <t>Fee and Commission expenses</t>
  </si>
  <si>
    <t>Net fee and Commission income</t>
  </si>
  <si>
    <t>Total operating income</t>
  </si>
  <si>
    <t>Net Operating income</t>
  </si>
  <si>
    <t>Personal expenses</t>
  </si>
  <si>
    <t>Other expenses</t>
  </si>
  <si>
    <t>Value added tax (VAT) on financial services</t>
  </si>
  <si>
    <t>Profit / (loss) before tax</t>
  </si>
  <si>
    <t>Profit / (loss) for the period</t>
  </si>
  <si>
    <t>Profit attributable to :</t>
  </si>
  <si>
    <t>Basic earnings per ordinary share</t>
  </si>
  <si>
    <t>Bank</t>
  </si>
  <si>
    <t xml:space="preserve">Current </t>
  </si>
  <si>
    <t>From</t>
  </si>
  <si>
    <t>to</t>
  </si>
  <si>
    <t>Previous</t>
  </si>
  <si>
    <t>INDIAN OVERSEAS BANK</t>
  </si>
  <si>
    <t xml:space="preserve">STATEMENT OF COMPREHENSIVE INCOME </t>
  </si>
  <si>
    <t>Profit (loss) for the period</t>
  </si>
  <si>
    <t>Changes in revaluation surplus</t>
  </si>
  <si>
    <t>Group</t>
  </si>
  <si>
    <t>Assets</t>
  </si>
  <si>
    <t>Balances with central banks</t>
  </si>
  <si>
    <t>Placements with banks</t>
  </si>
  <si>
    <t>Derivative financial instruments</t>
  </si>
  <si>
    <t>through profit or loss</t>
  </si>
  <si>
    <t>Investments in subsidiaries</t>
  </si>
  <si>
    <t>Investments in associates and joint ventures</t>
  </si>
  <si>
    <t>Investment properties</t>
  </si>
  <si>
    <t>Other assets</t>
  </si>
  <si>
    <t>Total assets</t>
  </si>
  <si>
    <t>Liabilities</t>
  </si>
  <si>
    <t>Due to banks</t>
  </si>
  <si>
    <t>Debts securities issued</t>
  </si>
  <si>
    <t>Current tax liabilities</t>
  </si>
  <si>
    <t>Other provisions</t>
  </si>
  <si>
    <t>Other liabilities</t>
  </si>
  <si>
    <t>Due to subsidiaries</t>
  </si>
  <si>
    <t>Total liabilities</t>
  </si>
  <si>
    <t>Equity</t>
  </si>
  <si>
    <t>Stated capital / Assigned capital</t>
  </si>
  <si>
    <t>Statutory reserve fund</t>
  </si>
  <si>
    <t>Retained earnings</t>
  </si>
  <si>
    <t>Other reserves</t>
  </si>
  <si>
    <t>Total shareholders' equity</t>
  </si>
  <si>
    <t>Total equity</t>
  </si>
  <si>
    <t>Total equity and liabilities</t>
  </si>
  <si>
    <t>Contingent liabilities and commitments</t>
  </si>
  <si>
    <t>Memorandum Information</t>
  </si>
  <si>
    <t xml:space="preserve">       Number of Employees</t>
  </si>
  <si>
    <t xml:space="preserve">       Number of Branches</t>
  </si>
  <si>
    <t>STATEMENT OF CHANGES IN EQUITY</t>
  </si>
  <si>
    <t>Total comprehensive income for the year</t>
  </si>
  <si>
    <t>Other comprehensive income (net of tax)</t>
  </si>
  <si>
    <t>Share issue/increase of assigned capital</t>
  </si>
  <si>
    <t>Share options excercised</t>
  </si>
  <si>
    <t>Bonus issue</t>
  </si>
  <si>
    <t>Rights issue</t>
  </si>
  <si>
    <t>Dividends to equity holdres</t>
  </si>
  <si>
    <t>Profit transferred to head office</t>
  </si>
  <si>
    <t xml:space="preserve">Gain / (loss) on revaluation of Property, Plant </t>
  </si>
  <si>
    <t>and Equipment (if cost method is adopted)</t>
  </si>
  <si>
    <t>Others (Please specify)</t>
  </si>
  <si>
    <t>Total transactions with equity holders</t>
  </si>
  <si>
    <t>Ordinary</t>
  </si>
  <si>
    <t xml:space="preserve">voting </t>
  </si>
  <si>
    <t>shares</t>
  </si>
  <si>
    <t>non-voting</t>
  </si>
  <si>
    <t>Assigned</t>
  </si>
  <si>
    <t>capital</t>
  </si>
  <si>
    <t>Reserves</t>
  </si>
  <si>
    <t>Revaluation</t>
  </si>
  <si>
    <t>reserve</t>
  </si>
  <si>
    <t xml:space="preserve">Retained </t>
  </si>
  <si>
    <t>earnings</t>
  </si>
  <si>
    <t xml:space="preserve">Other </t>
  </si>
  <si>
    <t>reserves</t>
  </si>
  <si>
    <t>Total</t>
  </si>
  <si>
    <t>interest</t>
  </si>
  <si>
    <t>a. Bank - Current period</t>
  </si>
  <si>
    <t>ASSETS</t>
  </si>
  <si>
    <t>Cash and cash equivalents</t>
  </si>
  <si>
    <t>Total financial assets</t>
  </si>
  <si>
    <t>LIABILITIES</t>
  </si>
  <si>
    <t>Debt securities issued</t>
  </si>
  <si>
    <t xml:space="preserve">Total financial liabilities </t>
  </si>
  <si>
    <t>ANALYSIS OF FINANCIAL INSTRUMENTS BY MEASURMENT BASIS</t>
  </si>
  <si>
    <t>Assets Quality (Quality of Loan Portfolio)</t>
  </si>
  <si>
    <t>Profitability</t>
  </si>
  <si>
    <t>Regulatory Liquidity</t>
  </si>
  <si>
    <t xml:space="preserve">   Domestic Banking Unit</t>
  </si>
  <si>
    <t xml:space="preserve">   Off - shore Banking Unit</t>
  </si>
  <si>
    <t>As at</t>
  </si>
  <si>
    <t>in LKR</t>
  </si>
  <si>
    <t>in INR</t>
  </si>
  <si>
    <t xml:space="preserve"> Group</t>
  </si>
  <si>
    <t>as at</t>
  </si>
  <si>
    <t xml:space="preserve">Period </t>
  </si>
  <si>
    <t xml:space="preserve"> as at</t>
  </si>
  <si>
    <t xml:space="preserve"> Period</t>
  </si>
  <si>
    <t>By Product - Domestic Currecy</t>
  </si>
  <si>
    <t>Sub Total</t>
  </si>
  <si>
    <t>By Product - Foreign Currecy</t>
  </si>
  <si>
    <t>Demand Deposits (Current Accounts)</t>
  </si>
  <si>
    <t>Savings Deposits</t>
  </si>
  <si>
    <t>Fixed Deposits</t>
  </si>
  <si>
    <t xml:space="preserve">STATEMENT OF FINANCIAL POSITION </t>
  </si>
  <si>
    <t>ANALYSIS OF FINANCIAL INSTRUMENTS BY MEASUREMENT BASIS</t>
  </si>
  <si>
    <t>Certification</t>
  </si>
  <si>
    <t>Earnings per share on profit</t>
  </si>
  <si>
    <t>Equity Holders of the parent</t>
  </si>
  <si>
    <t xml:space="preserve">Current Period </t>
  </si>
  <si>
    <t>Diluted earnings per ordinary share</t>
  </si>
  <si>
    <t xml:space="preserve">Cash and cash equivalents </t>
  </si>
  <si>
    <t>Property, plant and equipment</t>
  </si>
  <si>
    <t xml:space="preserve">Non controlling </t>
  </si>
  <si>
    <t>b. Bank - Previous Period</t>
  </si>
  <si>
    <t>Deffered tax liabilities</t>
  </si>
  <si>
    <t>in INR milion (Audited)</t>
  </si>
  <si>
    <t>(Audited)</t>
  </si>
  <si>
    <t xml:space="preserve">Corporate Governance </t>
  </si>
  <si>
    <t>Risk  Management</t>
  </si>
  <si>
    <t>Compliance Officer</t>
  </si>
  <si>
    <t xml:space="preserve">We, the undersigned, being the Chief Executive Officer and the Compliance Officer of Indian Overseas Bank certify jointly that:
(a) The above statements have been prepared in compliance with the format and definitions prescribed by the Central Bank of Sri Lanka.
</t>
  </si>
  <si>
    <t>c. Group - Current period</t>
  </si>
  <si>
    <t>STATEMENT OF CASH FLOWS</t>
  </si>
  <si>
    <t>Cash flows from operating activities</t>
  </si>
  <si>
    <t>Cash flows from investing activities</t>
  </si>
  <si>
    <t>Purchase of property, plant &amp; equipment</t>
  </si>
  <si>
    <t xml:space="preserve">Proceeds from the sale of property, plant &amp; equipment </t>
  </si>
  <si>
    <t>Purchase of financial investments</t>
  </si>
  <si>
    <t>Proceeds from the sale and maturity of financial investments</t>
  </si>
  <si>
    <t>Net purchase of intangible assets</t>
  </si>
  <si>
    <t xml:space="preserve">Dividends received from investment in subsidiaries &amp; associates </t>
  </si>
  <si>
    <t>Others (please specify)</t>
  </si>
  <si>
    <t>Net cash (used in) / from investing activities</t>
  </si>
  <si>
    <t>Cash flows from financing activities</t>
  </si>
  <si>
    <t>Net proceeds from the issue of ordinary share capital</t>
  </si>
  <si>
    <t>Net proceeds from the issue of other equity instruments</t>
  </si>
  <si>
    <t>Net proceeds from the issue of subordinated debt</t>
  </si>
  <si>
    <t>Repayment of subordinated debt</t>
  </si>
  <si>
    <t>Interest paid on subordinataed debt</t>
  </si>
  <si>
    <t>Dividend paid to non-controlling interest</t>
  </si>
  <si>
    <t>Dividend paid to shareholders of the parent company</t>
  </si>
  <si>
    <t>Dividend paid to holders of othr equity instruments</t>
  </si>
  <si>
    <t>Net increase/(decrease) in cash &amp; cash equivalantes</t>
  </si>
  <si>
    <t>Cash &amp; cash equivalants at the beginning of the period</t>
  </si>
  <si>
    <t>Exchange difference in respect of cash &amp; cash equivalent</t>
  </si>
  <si>
    <t>Cash &amp; cash equivalants at the end of the period</t>
  </si>
  <si>
    <t>in LKR million (Audited)</t>
  </si>
  <si>
    <t xml:space="preserve">The Bank facilitates good Corporate Governance by its commitments for ethical practices in the conduct of its business to ensure transparency and efficiency. Objectives can be summarized as, to protect and enhance share holder value, to protect the interest of all share holders. This will ensure transparency and integrity in communication and to make available full accurate and clear information to all stakeholders concerned, to ensure accountability for excellent customer service levels.
Bank’s full statement on Corporate Governance can be found in the Bank’s Annual Report at https://www.iob.in/Annual_Reports.aspx
</t>
  </si>
  <si>
    <t xml:space="preserve">Previous Period </t>
  </si>
  <si>
    <t>Financial Parameters</t>
  </si>
  <si>
    <t>Bank (in LKR)</t>
  </si>
  <si>
    <t>d. Group - Previous period</t>
  </si>
  <si>
    <t>Country Head</t>
  </si>
  <si>
    <t>Risk taking is an integral part of the banking business. Banks assume various types of risks in its activities, while providing different kinds of services based on its risk appetite. In the normal course of business, a bank is exposed to various risks including Credit Risk, Market Risk and Operational Risk. With a view to manage such risks efficiently and strengthen its risk management systems, bank has put in place various risk management measures and practices which includes policies, tools, techniques, monitoring mechanism and Management Information System.
The Bank has adopted the new Capital Adequacy Framework (Basel II) with effect from January 2008. In line with Regulator’s guidelines, the Bank adopted the Standardized Approach (SA) for computation of Credit Risk Capital, Basic Indicator approach for calculating the capital for Operational Risk and Standardized Measurement Method (SMM) for Market Risk Capital computation. The Bank has put in place a Board approved Policy on Internal Capital Adequacy Assessment Process (ICAAP) to address second pillar requirements.</t>
  </si>
  <si>
    <t>Deffered tax assets</t>
  </si>
  <si>
    <t>Net gains/(losses) from trading</t>
  </si>
  <si>
    <t xml:space="preserve">    financial assets at fair value through profit or loss</t>
  </si>
  <si>
    <t xml:space="preserve">    financial liabilities at fair value through profit or loss</t>
  </si>
  <si>
    <t>Net gains/(losses) on derecognition of financial assets :</t>
  </si>
  <si>
    <t xml:space="preserve">    at fair value through profit or loss</t>
  </si>
  <si>
    <t xml:space="preserve">    at amortised cost</t>
  </si>
  <si>
    <t xml:space="preserve">    at fair value through other comprehensive income</t>
  </si>
  <si>
    <t>Net other operating income</t>
  </si>
  <si>
    <t>Impairment charges</t>
  </si>
  <si>
    <t>Depreciation and amortizaiton expenses</t>
  </si>
  <si>
    <t>National building tax (VAT) on financial services</t>
  </si>
  <si>
    <t>Operating profit / (loss) before VAT &amp; NBT on financial services</t>
  </si>
  <si>
    <t>Operating profit / (loss) after VAT &amp; NBT on financial services</t>
  </si>
  <si>
    <t>Income Tax expenses</t>
  </si>
  <si>
    <t>Non-controlling interests</t>
  </si>
  <si>
    <t>In Rupees Millions</t>
  </si>
  <si>
    <t>Items that will be reclassified to income statement</t>
  </si>
  <si>
    <t>Exchange differences on translation of foreign operations</t>
  </si>
  <si>
    <t>Net gains/(losses) on cash flow hedges</t>
  </si>
  <si>
    <t>Net gains/(losses) on investments in debt instruments</t>
  </si>
  <si>
    <t>measured at fair value through other comprehensive income</t>
  </si>
  <si>
    <t>Share of profits of associates and joint ventures</t>
  </si>
  <si>
    <t>Debt instruments at fair value through other comprehensive income</t>
  </si>
  <si>
    <t>Others (specify)</t>
  </si>
  <si>
    <t>Less : Tax expense relating to items that will be reclassified to</t>
  </si>
  <si>
    <t>income statement</t>
  </si>
  <si>
    <t>Items that will not be reclassified to income statement</t>
  </si>
  <si>
    <t>Change in fair value on investments in equity instruments</t>
  </si>
  <si>
    <t>designated at fair value through other comprehensive income</t>
  </si>
  <si>
    <t xml:space="preserve">Change in fair value attributable to change in the Bank’s own </t>
  </si>
  <si>
    <t xml:space="preserve">credit risk on financial liabilities designated at fair value </t>
  </si>
  <si>
    <t>Re-measurement of post-employment benefit obligations</t>
  </si>
  <si>
    <t>to income statement</t>
  </si>
  <si>
    <t>Less: Tax expense relating to items that will not be reclassified</t>
  </si>
  <si>
    <t>Other comprehensive income for the period, net of taxes</t>
  </si>
  <si>
    <t>Equity holders of the parent</t>
  </si>
  <si>
    <t>Financial assets recognized through profit or loss</t>
  </si>
  <si>
    <t xml:space="preserve">    - measured at fair value</t>
  </si>
  <si>
    <t xml:space="preserve">    - designated at fair value</t>
  </si>
  <si>
    <t>Financial assets at amortised cost</t>
  </si>
  <si>
    <t xml:space="preserve">   - loans and advances</t>
  </si>
  <si>
    <t xml:space="preserve">   - debt and other instruments</t>
  </si>
  <si>
    <t>Financial assets measured at fair value through</t>
  </si>
  <si>
    <t>other comprehensive income</t>
  </si>
  <si>
    <t>Financial liabilities at amortised cost</t>
  </si>
  <si>
    <t xml:space="preserve">   - due to depositors</t>
  </si>
  <si>
    <t xml:space="preserve">   - due to debt securities holders</t>
  </si>
  <si>
    <t xml:space="preserve">   - due to other borrowers</t>
  </si>
  <si>
    <t>Retirement benefit obligations</t>
  </si>
  <si>
    <t>Financial liabilities recognized through profit or loss</t>
  </si>
  <si>
    <t>OCI reserve</t>
  </si>
  <si>
    <t>Note: Amounts stated are net of impairment and depreciation.</t>
  </si>
  <si>
    <t>In Rupees Millions                                    LKR</t>
  </si>
  <si>
    <t>Transactions with equity holders, recognised</t>
  </si>
  <si>
    <t>directly in equity</t>
  </si>
  <si>
    <t>Profit/(loss) for the year (net of
tax)</t>
  </si>
  <si>
    <t>Transfers to reserve during the period</t>
  </si>
  <si>
    <t>In Rupees Millions                                    INR</t>
  </si>
  <si>
    <t>Statutory Reserve fund</t>
  </si>
  <si>
    <t>OCI</t>
  </si>
  <si>
    <t>Interest receipts</t>
  </si>
  <si>
    <t>Interest payments</t>
  </si>
  <si>
    <t>Net commission receipts</t>
  </si>
  <si>
    <t>Trading income</t>
  </si>
  <si>
    <t>Payments to employees</t>
  </si>
  <si>
    <t>VAT &amp; NBT on financial services</t>
  </si>
  <si>
    <t>Receipts from other operating activities</t>
  </si>
  <si>
    <t>Payments on other operating activities</t>
  </si>
  <si>
    <t>Operating profit before change in operating assets &amp; liabilities</t>
  </si>
  <si>
    <t>(Increase) / decrease in operating assets</t>
  </si>
  <si>
    <t>Balances with Central Bank of Sri Lanka</t>
  </si>
  <si>
    <t>Financial assets at amortised cost – loans &amp; advances</t>
  </si>
  <si>
    <t>Other assets (please specify)</t>
  </si>
  <si>
    <t>Increase / (decrease) in operating liabilities</t>
  </si>
  <si>
    <t>Financial liabilities at amortised cost – due to depositors</t>
  </si>
  <si>
    <t>Financial liabilities at amortised cost – due to debt securities holders</t>
  </si>
  <si>
    <t>Financial liabilities at amortised cost – due to other borrowers</t>
  </si>
  <si>
    <t>Other liabilities (please specify)</t>
  </si>
  <si>
    <t>Net cash generated from operating activities before income tax</t>
  </si>
  <si>
    <t>Income tax paid</t>
  </si>
  <si>
    <t>Net cash (used in) / from operating activities</t>
  </si>
  <si>
    <t>Net cash (used in) / from financing activities</t>
  </si>
  <si>
    <t>Net cash flow from acquisition of investment in subsidiaries, joint
ventures and associates</t>
  </si>
  <si>
    <t>Net cash flow from disposal of subsidiaries, associates and  joint
ventures</t>
  </si>
  <si>
    <t>SELECTED PERFORMANCE INDICATORS (BASED ON REGULATORY REPORTING)</t>
  </si>
  <si>
    <t>Regulatory Capital Adequacy (LKR in Millions)</t>
  </si>
  <si>
    <t xml:space="preserve">      Common Equity Tier 1</t>
  </si>
  <si>
    <t xml:space="preserve">      Core (Tier 1) Capital</t>
  </si>
  <si>
    <t xml:space="preserve">      Total Capital Base</t>
  </si>
  <si>
    <t>Regulatory Capital Ratios (%)</t>
  </si>
  <si>
    <t>Gross Non-Performing Advances Ratio % (net of IIS)</t>
  </si>
  <si>
    <t>Net-Non Performing Advances, % (net of IIS and provision)</t>
  </si>
  <si>
    <t>Return on Assets (befor Tax) %</t>
  </si>
  <si>
    <t>Return on Equity %</t>
  </si>
  <si>
    <t>Interest Margin %</t>
  </si>
  <si>
    <t>Loans and advances</t>
  </si>
  <si>
    <t>Debt instruments</t>
  </si>
  <si>
    <t>Equity instruments</t>
  </si>
  <si>
    <t>AC</t>
  </si>
  <si>
    <t>FVPL</t>
  </si>
  <si>
    <t>FVOCI</t>
  </si>
  <si>
    <t>FVOCI - Financial assets measured at fair value through other comprehensive income</t>
  </si>
  <si>
    <t>FVPL   - Financial assets/liabilities measured at fair value through profit or loss</t>
  </si>
  <si>
    <t>AC       - Financial assets/liabilities measured at amortised cost</t>
  </si>
  <si>
    <t>In Indian Rupees Millions</t>
  </si>
  <si>
    <t>Financial liabilities</t>
  </si>
  <si>
    <t xml:space="preserve">  - due to depositors</t>
  </si>
  <si>
    <t xml:space="preserve">  - due to debt securities holders</t>
  </si>
  <si>
    <t xml:space="preserve">  - due to other borrowers</t>
  </si>
  <si>
    <t>ANALYSIS OF FINANCIAL DEPOSITS</t>
  </si>
  <si>
    <t>Other (Dormant/Margin/Vostro)</t>
  </si>
  <si>
    <t>ANALYSIS OF LOANS &amp; ADVANCES, COMMITMENTS, CONTINGENCIES AND
IMPAIRMENT</t>
  </si>
  <si>
    <t>Product-wise Gross loans &amp; advances</t>
  </si>
  <si>
    <t xml:space="preserve">    By Product - Domestic Currency</t>
  </si>
  <si>
    <t xml:space="preserve">          Overdrafts</t>
  </si>
  <si>
    <t xml:space="preserve">          Term Loans</t>
  </si>
  <si>
    <t xml:space="preserve">          Lease Rentals Receivable</t>
  </si>
  <si>
    <t xml:space="preserve">         Credit Cards</t>
  </si>
  <si>
    <t xml:space="preserve">         Pawning</t>
  </si>
  <si>
    <t xml:space="preserve">    Sub Total</t>
  </si>
  <si>
    <t xml:space="preserve">          Guarantees</t>
  </si>
  <si>
    <t xml:space="preserve">          Bonds</t>
  </si>
  <si>
    <t>Product-wise commitments and contigencies</t>
  </si>
  <si>
    <t xml:space="preserve">          Undrawn credit lines</t>
  </si>
  <si>
    <t>Stage-wise impairment on loans &amp; advances,</t>
  </si>
  <si>
    <t>commitments and contigencies</t>
  </si>
  <si>
    <t>Gross loans &amp; advances, commitments and</t>
  </si>
  <si>
    <t>contigencies</t>
  </si>
  <si>
    <t>Less : Accumulated impairment under stage 1</t>
  </si>
  <si>
    <t xml:space="preserve">            Accumulated impairment under stage 3</t>
  </si>
  <si>
    <t xml:space="preserve">            Accumulated impairment under stage 2</t>
  </si>
  <si>
    <t>and contigencies</t>
  </si>
  <si>
    <t>Net value of loans &amp; advances, commitments</t>
  </si>
  <si>
    <t>Movement of impairment during the period</t>
  </si>
  <si>
    <t>Under Stage 1</t>
  </si>
  <si>
    <t xml:space="preserve">     Charge/(Write back) to income statement</t>
  </si>
  <si>
    <t xml:space="preserve">     Write-off during the year</t>
  </si>
  <si>
    <t xml:space="preserve">     Other movements</t>
  </si>
  <si>
    <t>Under Stage 2</t>
  </si>
  <si>
    <t>Under Stage 3</t>
  </si>
  <si>
    <t>Total impairment</t>
  </si>
  <si>
    <t>Others - Foreign Exchange gain from FCBU</t>
  </si>
  <si>
    <t xml:space="preserve">Current  </t>
  </si>
  <si>
    <t>Period</t>
  </si>
  <si>
    <t xml:space="preserve">Previous </t>
  </si>
  <si>
    <t>Current</t>
  </si>
  <si>
    <t>Goodwill and intangible assets</t>
  </si>
  <si>
    <t>DRL</t>
  </si>
  <si>
    <t>VAT FS</t>
  </si>
  <si>
    <t>NBT FS</t>
  </si>
  <si>
    <t>Tier 1 Capital Ratio (%) (Minimum Requirement - 8.50%)</t>
  </si>
  <si>
    <t>Common Equity Tier 1 Capital (%) (Minimum Requirement - 7.00%)</t>
  </si>
  <si>
    <t>Total Capital Ratio (%) (Minimum Requirement - 12.50%)</t>
  </si>
  <si>
    <t>Statutory Liquid Assets Ratio, % (Minimum Requirement, 20%)</t>
  </si>
  <si>
    <t>Total Stock of High-Quality Liquid Assets (LKR in Millions)</t>
  </si>
  <si>
    <t>Liquidity Coverage Ratio (%) (Minimum Requirement - 100%)</t>
  </si>
  <si>
    <t xml:space="preserve">      Rupee (%)</t>
  </si>
  <si>
    <t xml:space="preserve">      All Currency (%)</t>
  </si>
  <si>
    <t>NA</t>
  </si>
  <si>
    <t>Stated capital/Assigned capital</t>
  </si>
  <si>
    <t>Leverage Ratio (Minimum Requirement - 3%)</t>
  </si>
  <si>
    <t xml:space="preserve">        Other Loans (Demand /Staff/Bills/NPA)</t>
  </si>
  <si>
    <t xml:space="preserve">    By Product - Foreign Currency</t>
  </si>
  <si>
    <t xml:space="preserve">          Letters of Credits</t>
  </si>
  <si>
    <t xml:space="preserve">          Bills of Exchange</t>
  </si>
  <si>
    <t xml:space="preserve">          Other Contigent Items</t>
  </si>
  <si>
    <t>Net fair value gains/(losses) on :</t>
  </si>
  <si>
    <t>Total comprehensive income for the period attributable to :</t>
  </si>
  <si>
    <t>Net Stable Funding Ratio (%) - (Minimum Requirement - 100%)</t>
  </si>
  <si>
    <t>01.04.2020</t>
  </si>
  <si>
    <t>31/03/2020</t>
  </si>
  <si>
    <t>Shameer S</t>
  </si>
  <si>
    <t>receivable</t>
  </si>
  <si>
    <t>tot adv</t>
  </si>
  <si>
    <t>rebated</t>
  </si>
  <si>
    <t>festival</t>
  </si>
  <si>
    <t xml:space="preserve">     Closing balance as 31.12.2020</t>
  </si>
  <si>
    <t>ALL CCY</t>
  </si>
  <si>
    <t>LKR</t>
  </si>
  <si>
    <t>USD</t>
  </si>
  <si>
    <t>31.03.2021</t>
  </si>
  <si>
    <t>31/03/2021</t>
  </si>
  <si>
    <t>Group(in INR)</t>
  </si>
  <si>
    <t>26.39%</t>
  </si>
  <si>
    <t>13.21</t>
  </si>
  <si>
    <t xml:space="preserve">The Bank facilitates good Corporate Governance by its commitments for ethical practices in the conduct of its business to ensure transparency and efficiency. Objectives can be summarized as, to protect and enhance share holder value, to protect the interest of all share holders. This will ensure transparency and integrity in communication and to make available full accurate and clear information to all stakeholders concerned, to ensure accountability for excellent customer service levels.
Bank’s full statement on Corporate Governance can be found in the Bank’s Annual Report at https://www.iob.in
</t>
  </si>
  <si>
    <t>Risk taking is an integral part of the banking business. Banks assume various types of risks in its activities, while providing different kinds of services based on its risk appetite. In the normal course of business, a bank is exposed to various risks including Credit Risk, Market Risk and Operational Risk. With a view to manage such risks efficiently and strengthen its risk management systems, bank has put in place various risk management measures and practices which includes policies, tools, techniques, monitoring mechanism and Management Information System.
The Bank has adopted the new Capital Adequacy Framework (Basel III) with effect from  2015. In line with Regulator’s guidelines, the Bank adopted the Standardized Approach (SA) for computation of Credit Risk Capital, Basic Indicator approach for calculating the capital for Operational Risk and Standardized Measurement Method (SMM) for Market Risk Capital computation. The Bank has put in place a Board approved Policy on Internal Capital Adequacy Assessment Process (ICAAP) to address third pillar requirements.</t>
  </si>
  <si>
    <t>In LKR</t>
  </si>
  <si>
    <t>FOR THE PERIOD ENDED 30.06.2021</t>
  </si>
  <si>
    <t>30.06.2021</t>
  </si>
  <si>
    <t>AS AT 30.06.2021</t>
  </si>
  <si>
    <t>30.06.2020</t>
  </si>
  <si>
    <t>AS AT 30.06.2020</t>
  </si>
  <si>
    <t>01.04.2021</t>
  </si>
  <si>
    <t>Balance as at 01/04/2021 (Opening balance)</t>
  </si>
  <si>
    <t>Balance as at 30/06/2021 (Closing balance)</t>
  </si>
  <si>
    <t>Sachini R h Fernandopulle</t>
  </si>
  <si>
    <r>
      <t>(b) The information contained in these  statements have been extracted from the un</t>
    </r>
    <r>
      <rPr>
        <sz val="12"/>
        <color rgb="FFFF0000"/>
        <rFont val="Calibri"/>
        <family val="2"/>
      </rPr>
      <t>audited</t>
    </r>
    <r>
      <rPr>
        <sz val="12"/>
        <rFont val="Calibri"/>
        <family val="2"/>
      </rPr>
      <t xml:space="preserve"> financial statement of the Bank.</t>
    </r>
  </si>
  <si>
    <t>Date: 23.08.2021</t>
  </si>
  <si>
    <t>Statutory Liquid Assets (LKR in Millions)</t>
  </si>
  <si>
    <t xml:space="preserve">in LKR million </t>
  </si>
  <si>
    <t xml:space="preserve">in INR milion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</si>
</sst>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 #,##0_);_(* \(#,##0\);_(* &quot;-&quot;??_);_(@_)"/>
    <numFmt numFmtId="165" formatCode="_-* #,##0_-;\-* #,##0_-;_-* &quot;-&quot;_-;_-@_-"/>
    <numFmt numFmtId="166" formatCode="_-* #,##0_-;\-* #,##0_-;_-* &quot;-&quot;??_-;_-@_-"/>
    <numFmt numFmtId="167" formatCode="_(* #,##0.000_);_(* \(#,##0.000\);_(* &quot;-&quot;??_);_(@_)"/>
  </numFmts>
  <fonts count="23"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b/>
      <sz val="12"/>
      <color indexed="8"/>
      <name val="Calibri"/>
      <family val="2"/>
    </font>
    <font>
      <sz val="12"/>
      <color indexed="8"/>
      <name val="Calibri"/>
      <family val="2"/>
    </font>
    <font>
      <sz val="10"/>
      <color indexed="8"/>
      <name val="Calibri"/>
      <family val="2"/>
    </font>
    <font>
      <sz val="12"/>
      <name val="Calibri"/>
      <family val="2"/>
    </font>
    <font>
      <sz val="11"/>
      <color indexed="8"/>
      <name val="Calibri"/>
      <family val="2"/>
    </font>
    <font>
      <b/>
      <sz val="11"/>
      <color indexed="8"/>
      <name val="Calibri"/>
      <family val="2"/>
    </font>
    <font>
      <b/>
      <sz val="12"/>
      <name val="Calibri"/>
      <family val="2"/>
    </font>
    <font>
      <sz val="10"/>
      <name val="Calibri"/>
      <family val="2"/>
    </font>
    <font>
      <sz val="12"/>
      <name val="Calibri"/>
      <family val="2"/>
      <scheme val="minor"/>
    </font>
    <font>
      <b/>
      <sz val="11"/>
      <color theme="1"/>
      <name val="Calibri"/>
      <family val="2"/>
      <scheme val="minor"/>
    </font>
    <font>
      <i/>
      <sz val="11"/>
      <color theme="1"/>
      <name val="Calibri"/>
      <family val="2"/>
      <scheme val="minor"/>
    </font>
    <font>
      <sz val="12"/>
      <color rgb="FFFF0000"/>
      <name val="Calibri"/>
      <family val="2"/>
    </font>
    <font>
      <sz val="11"/>
      <color rgb="FFFF0000"/>
      <name val="Calibri"/>
      <family val="2"/>
      <scheme val="minor"/>
    </font>
    <font>
      <b/>
      <sz val="11"/>
      <color rgb="FFFF0000"/>
      <name val="Calibri"/>
      <family val="2"/>
      <scheme val="minor"/>
    </font>
    <font>
      <sz val="9"/>
      <color indexed="81"/>
      <name val="Tahoma"/>
      <family val="2"/>
    </font>
    <font>
      <b/>
      <sz val="9"/>
      <color indexed="81"/>
      <name val="Tahoma"/>
      <family val="2"/>
    </font>
    <font>
      <sz val="11"/>
      <color theme="1"/>
      <name val="Calibri"/>
      <family val="2"/>
      <scheme val="minor"/>
    </font>
    <font>
      <sz val="12"/>
      <color theme="1"/>
      <name val="Calibri"/>
      <family val="2"/>
    </font>
    <font>
      <b/>
      <sz val="12"/>
      <color theme="1"/>
      <name val="Calibri"/>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9" tint="0.59999389629810485"/>
        <bgColor indexed="64"/>
      </patternFill>
    </fill>
    <fill>
      <patternFill patternType="solid">
        <fgColor theme="4" tint="0.59999389629810485"/>
        <bgColor indexed="64"/>
      </patternFill>
    </fill>
  </fills>
  <borders count="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7">
    <xf numFmtId="0" fontId="0" fillId="0" borderId="0"/>
    <xf numFmtId="43" fontId="2" fillId="0" borderId="0" applyFont="0" applyFill="0" applyBorder="0" applyAlignment="0" applyProtection="0"/>
    <xf numFmtId="43" fontId="1" fillId="0" borderId="0" applyFont="0" applyFill="0" applyBorder="0" applyAlignment="0" applyProtection="0"/>
    <xf numFmtId="9" fontId="8"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20" fillId="0" borderId="0"/>
  </cellStyleXfs>
  <cellXfs count="383">
    <xf numFmtId="0" fontId="0" fillId="0" borderId="0" xfId="0"/>
    <xf numFmtId="49" fontId="0" fillId="0" borderId="0" xfId="0" applyNumberFormat="1"/>
    <xf numFmtId="49" fontId="4" fillId="0" borderId="0" xfId="0" applyNumberFormat="1" applyFont="1"/>
    <xf numFmtId="49" fontId="5" fillId="0" borderId="0" xfId="0" applyNumberFormat="1" applyFont="1"/>
    <xf numFmtId="49" fontId="5" fillId="0" borderId="0" xfId="0" applyNumberFormat="1" applyFont="1" applyBorder="1"/>
    <xf numFmtId="49" fontId="4" fillId="0" borderId="0" xfId="0" applyNumberFormat="1" applyFont="1" applyBorder="1"/>
    <xf numFmtId="49" fontId="5" fillId="0" borderId="4" xfId="0" applyNumberFormat="1" applyFont="1" applyBorder="1"/>
    <xf numFmtId="49" fontId="3" fillId="0" borderId="0" xfId="0" applyNumberFormat="1" applyFont="1"/>
    <xf numFmtId="49" fontId="0" fillId="0" borderId="0" xfId="0" applyNumberFormat="1" applyFont="1"/>
    <xf numFmtId="2" fontId="0" fillId="0" borderId="0" xfId="0" applyNumberFormat="1"/>
    <xf numFmtId="43" fontId="2" fillId="0" borderId="0" xfId="1" applyFont="1"/>
    <xf numFmtId="0" fontId="0" fillId="0" borderId="0" xfId="0" applyBorder="1"/>
    <xf numFmtId="0" fontId="3" fillId="0" borderId="0" xfId="0" applyFont="1" applyBorder="1"/>
    <xf numFmtId="164" fontId="4" fillId="0" borderId="0" xfId="1" applyNumberFormat="1" applyFont="1" applyBorder="1"/>
    <xf numFmtId="164" fontId="8" fillId="0" borderId="0" xfId="1" applyNumberFormat="1" applyFont="1"/>
    <xf numFmtId="164" fontId="8" fillId="0" borderId="0" xfId="1" applyNumberFormat="1" applyFont="1" applyBorder="1"/>
    <xf numFmtId="164" fontId="0" fillId="0" borderId="0" xfId="0" applyNumberFormat="1"/>
    <xf numFmtId="164" fontId="0" fillId="0" borderId="0" xfId="0" applyNumberFormat="1" applyBorder="1"/>
    <xf numFmtId="49" fontId="4" fillId="0" borderId="5" xfId="0" applyNumberFormat="1" applyFont="1" applyBorder="1"/>
    <xf numFmtId="49" fontId="5" fillId="0" borderId="5" xfId="0" applyNumberFormat="1" applyFont="1" applyBorder="1"/>
    <xf numFmtId="164" fontId="5" fillId="0" borderId="5" xfId="1" applyNumberFormat="1" applyFont="1" applyBorder="1"/>
    <xf numFmtId="164" fontId="4" fillId="0" borderId="5" xfId="1" applyNumberFormat="1" applyFont="1" applyBorder="1"/>
    <xf numFmtId="49" fontId="5" fillId="2" borderId="0" xfId="0" applyNumberFormat="1" applyFont="1" applyFill="1"/>
    <xf numFmtId="49" fontId="5" fillId="2" borderId="1" xfId="0" applyNumberFormat="1" applyFont="1" applyFill="1" applyBorder="1"/>
    <xf numFmtId="0" fontId="0" fillId="0" borderId="5" xfId="0" applyBorder="1"/>
    <xf numFmtId="0" fontId="9" fillId="0" borderId="5" xfId="0" applyFont="1" applyBorder="1"/>
    <xf numFmtId="0" fontId="0" fillId="2" borderId="8" xfId="0" applyFill="1" applyBorder="1"/>
    <xf numFmtId="0" fontId="0" fillId="2" borderId="1" xfId="0" applyFill="1" applyBorder="1"/>
    <xf numFmtId="0" fontId="0" fillId="2" borderId="9" xfId="0" applyFill="1" applyBorder="1"/>
    <xf numFmtId="0" fontId="0" fillId="2" borderId="10" xfId="0" applyFill="1" applyBorder="1"/>
    <xf numFmtId="0" fontId="0" fillId="2" borderId="0" xfId="0" applyFill="1" applyBorder="1"/>
    <xf numFmtId="0" fontId="3" fillId="2" borderId="10" xfId="0" applyFont="1" applyFill="1" applyBorder="1"/>
    <xf numFmtId="0" fontId="0" fillId="2" borderId="13" xfId="0" applyFill="1" applyBorder="1"/>
    <xf numFmtId="0" fontId="3" fillId="0" borderId="14" xfId="0" applyFont="1" applyBorder="1"/>
    <xf numFmtId="49" fontId="5" fillId="2" borderId="7" xfId="0" applyNumberFormat="1" applyFont="1" applyFill="1" applyBorder="1"/>
    <xf numFmtId="49" fontId="5" fillId="2" borderId="16" xfId="0" applyNumberFormat="1" applyFont="1" applyFill="1" applyBorder="1"/>
    <xf numFmtId="49" fontId="4" fillId="0" borderId="5" xfId="0" applyNumberFormat="1" applyFont="1" applyBorder="1" applyAlignment="1"/>
    <xf numFmtId="49" fontId="5" fillId="0" borderId="5" xfId="0" applyNumberFormat="1" applyFont="1" applyBorder="1" applyAlignment="1"/>
    <xf numFmtId="49" fontId="4" fillId="2" borderId="3" xfId="0" applyNumberFormat="1" applyFont="1" applyFill="1" applyBorder="1"/>
    <xf numFmtId="49" fontId="4" fillId="2" borderId="0" xfId="0" applyNumberFormat="1" applyFont="1" applyFill="1" applyBorder="1"/>
    <xf numFmtId="49" fontId="5" fillId="2" borderId="0" xfId="0" applyNumberFormat="1" applyFont="1" applyFill="1" applyBorder="1"/>
    <xf numFmtId="49" fontId="5" fillId="0" borderId="18" xfId="0" applyNumberFormat="1" applyFont="1" applyBorder="1" applyAlignment="1"/>
    <xf numFmtId="49" fontId="4" fillId="2" borderId="0" xfId="0" applyNumberFormat="1" applyFont="1" applyFill="1" applyBorder="1" applyAlignment="1"/>
    <xf numFmtId="49" fontId="0" fillId="0" borderId="0" xfId="0" applyNumberFormat="1" applyBorder="1"/>
    <xf numFmtId="49" fontId="4" fillId="2" borderId="4" xfId="0" applyNumberFormat="1" applyFont="1" applyFill="1" applyBorder="1" applyAlignment="1">
      <alignment horizontal="center"/>
    </xf>
    <xf numFmtId="49" fontId="4" fillId="2" borderId="7" xfId="0" applyNumberFormat="1" applyFont="1" applyFill="1" applyBorder="1" applyAlignment="1">
      <alignment horizontal="center"/>
    </xf>
    <xf numFmtId="49" fontId="4" fillId="2" borderId="6" xfId="0" applyNumberFormat="1" applyFont="1" applyFill="1" applyBorder="1" applyAlignment="1">
      <alignment horizontal="center"/>
    </xf>
    <xf numFmtId="0" fontId="0" fillId="2" borderId="4" xfId="0" applyFill="1" applyBorder="1" applyAlignment="1"/>
    <xf numFmtId="49" fontId="4" fillId="2" borderId="4" xfId="0" applyNumberFormat="1" applyFont="1" applyFill="1" applyBorder="1" applyAlignment="1">
      <alignment horizontal="right"/>
    </xf>
    <xf numFmtId="49" fontId="4" fillId="2" borderId="7" xfId="0" applyNumberFormat="1" applyFont="1" applyFill="1" applyBorder="1" applyAlignment="1">
      <alignment horizontal="center" wrapText="1"/>
    </xf>
    <xf numFmtId="49" fontId="0" fillId="2" borderId="0" xfId="0" applyNumberFormat="1" applyFill="1"/>
    <xf numFmtId="164" fontId="2" fillId="2" borderId="0" xfId="1" applyNumberFormat="1" applyFont="1" applyFill="1"/>
    <xf numFmtId="49" fontId="4" fillId="2" borderId="4" xfId="0" applyNumberFormat="1" applyFont="1" applyFill="1" applyBorder="1" applyAlignment="1">
      <alignment horizontal="center" vertical="center"/>
    </xf>
    <xf numFmtId="49" fontId="4" fillId="2" borderId="7"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49" fontId="4" fillId="2" borderId="4" xfId="0" applyNumberFormat="1" applyFont="1" applyFill="1" applyBorder="1"/>
    <xf numFmtId="49" fontId="4" fillId="2" borderId="6" xfId="0" applyNumberFormat="1" applyFont="1" applyFill="1" applyBorder="1"/>
    <xf numFmtId="2" fontId="5" fillId="0" borderId="5" xfId="0" applyNumberFormat="1" applyFont="1" applyBorder="1"/>
    <xf numFmtId="164" fontId="8" fillId="0" borderId="5" xfId="1" applyNumberFormat="1" applyFont="1" applyBorder="1"/>
    <xf numFmtId="0" fontId="3" fillId="2" borderId="4" xfId="0" applyFont="1" applyFill="1" applyBorder="1" applyAlignment="1">
      <alignment horizontal="center"/>
    </xf>
    <xf numFmtId="0" fontId="3" fillId="2" borderId="7" xfId="0" applyFont="1" applyFill="1" applyBorder="1" applyAlignment="1">
      <alignment horizontal="center"/>
    </xf>
    <xf numFmtId="0" fontId="3" fillId="2" borderId="6" xfId="0" applyFont="1" applyFill="1" applyBorder="1"/>
    <xf numFmtId="0" fontId="3" fillId="2" borderId="11" xfId="0" applyFont="1" applyFill="1" applyBorder="1" applyAlignment="1">
      <alignment horizontal="center"/>
    </xf>
    <xf numFmtId="0" fontId="3" fillId="2" borderId="12" xfId="0" applyFont="1" applyFill="1" applyBorder="1" applyAlignment="1">
      <alignment horizontal="center"/>
    </xf>
    <xf numFmtId="164" fontId="4" fillId="2" borderId="0" xfId="1" applyNumberFormat="1" applyFont="1" applyFill="1" applyBorder="1"/>
    <xf numFmtId="49" fontId="5" fillId="0" borderId="16" xfId="0" applyNumberFormat="1" applyFont="1" applyBorder="1"/>
    <xf numFmtId="164" fontId="5" fillId="0" borderId="0" xfId="1" applyNumberFormat="1" applyFont="1" applyBorder="1"/>
    <xf numFmtId="164" fontId="5" fillId="0" borderId="18" xfId="1" applyNumberFormat="1" applyFont="1" applyBorder="1" applyAlignment="1"/>
    <xf numFmtId="164" fontId="4" fillId="0" borderId="18" xfId="1" applyNumberFormat="1" applyFont="1" applyBorder="1" applyAlignment="1"/>
    <xf numFmtId="49" fontId="5" fillId="0" borderId="5" xfId="0" applyNumberFormat="1" applyFont="1" applyBorder="1" applyAlignment="1">
      <alignment horizontal="center"/>
    </xf>
    <xf numFmtId="49" fontId="5" fillId="0" borderId="0" xfId="0" applyNumberFormat="1" applyFont="1" applyFill="1"/>
    <xf numFmtId="49" fontId="5" fillId="0" borderId="5" xfId="0" applyNumberFormat="1" applyFont="1" applyFill="1" applyBorder="1" applyAlignment="1">
      <alignment horizontal="right"/>
    </xf>
    <xf numFmtId="3" fontId="5" fillId="0" borderId="5" xfId="0" applyNumberFormat="1" applyFont="1" applyFill="1" applyBorder="1" applyAlignment="1">
      <alignment horizontal="right"/>
    </xf>
    <xf numFmtId="164" fontId="3" fillId="0" borderId="5" xfId="1" applyNumberFormat="1" applyFont="1" applyBorder="1"/>
    <xf numFmtId="164" fontId="5" fillId="0" borderId="5" xfId="1" applyNumberFormat="1" applyFont="1" applyFill="1" applyBorder="1"/>
    <xf numFmtId="164" fontId="5" fillId="0" borderId="5" xfId="2" applyNumberFormat="1" applyFont="1" applyBorder="1"/>
    <xf numFmtId="164" fontId="0" fillId="0" borderId="0" xfId="1" applyNumberFormat="1" applyFont="1"/>
    <xf numFmtId="49" fontId="4" fillId="4" borderId="4" xfId="0" applyNumberFormat="1" applyFont="1" applyFill="1" applyBorder="1"/>
    <xf numFmtId="49" fontId="4" fillId="4" borderId="6" xfId="0" applyNumberFormat="1" applyFont="1" applyFill="1" applyBorder="1"/>
    <xf numFmtId="49" fontId="4" fillId="4" borderId="6" xfId="0" applyNumberFormat="1" applyFont="1" applyFill="1" applyBorder="1" applyAlignment="1">
      <alignment horizontal="center" vertical="center"/>
    </xf>
    <xf numFmtId="164" fontId="5" fillId="0" borderId="0" xfId="2" applyNumberFormat="1" applyFont="1" applyBorder="1"/>
    <xf numFmtId="49" fontId="5" fillId="4" borderId="16" xfId="0" applyNumberFormat="1" applyFont="1" applyFill="1" applyBorder="1"/>
    <xf numFmtId="49" fontId="5" fillId="4" borderId="0" xfId="0" applyNumberFormat="1" applyFont="1" applyFill="1" applyBorder="1"/>
    <xf numFmtId="43" fontId="0" fillId="0" borderId="0" xfId="1" applyFont="1"/>
    <xf numFmtId="164" fontId="9" fillId="0" borderId="0" xfId="1" applyNumberFormat="1" applyFont="1" applyBorder="1"/>
    <xf numFmtId="164" fontId="3" fillId="2" borderId="6" xfId="1" applyNumberFormat="1" applyFont="1" applyFill="1" applyBorder="1"/>
    <xf numFmtId="164" fontId="0" fillId="0" borderId="5" xfId="1" applyNumberFormat="1" applyFont="1" applyBorder="1"/>
    <xf numFmtId="164" fontId="8" fillId="0" borderId="5" xfId="1" applyNumberFormat="1" applyFont="1" applyFill="1" applyBorder="1"/>
    <xf numFmtId="49" fontId="4" fillId="0" borderId="5" xfId="0" applyNumberFormat="1" applyFont="1" applyFill="1" applyBorder="1" applyAlignment="1">
      <alignment horizontal="center" vertical="center" wrapText="1"/>
    </xf>
    <xf numFmtId="49" fontId="4" fillId="0" borderId="0" xfId="0" applyNumberFormat="1" applyFont="1" applyFill="1" applyBorder="1"/>
    <xf numFmtId="10" fontId="5" fillId="0" borderId="5" xfId="3" applyNumberFormat="1" applyFont="1" applyFill="1" applyBorder="1" applyAlignment="1">
      <alignment horizontal="right"/>
    </xf>
    <xf numFmtId="0" fontId="0" fillId="0" borderId="0" xfId="0" applyFill="1"/>
    <xf numFmtId="49" fontId="5" fillId="0" borderId="22" xfId="0" applyNumberFormat="1" applyFont="1" applyFill="1" applyBorder="1"/>
    <xf numFmtId="49" fontId="4" fillId="0" borderId="16" xfId="0" applyNumberFormat="1" applyFont="1" applyFill="1" applyBorder="1"/>
    <xf numFmtId="49" fontId="5" fillId="0" borderId="16" xfId="0" applyNumberFormat="1" applyFont="1" applyFill="1" applyBorder="1"/>
    <xf numFmtId="49" fontId="4" fillId="0" borderId="6" xfId="0" applyNumberFormat="1" applyFont="1" applyFill="1" applyBorder="1" applyAlignment="1">
      <alignment horizontal="center" wrapText="1"/>
    </xf>
    <xf numFmtId="49" fontId="4" fillId="0" borderId="5" xfId="0" applyNumberFormat="1" applyFont="1" applyFill="1" applyBorder="1"/>
    <xf numFmtId="2" fontId="4" fillId="0" borderId="5" xfId="0" applyNumberFormat="1" applyFont="1" applyFill="1" applyBorder="1"/>
    <xf numFmtId="49" fontId="5" fillId="0" borderId="5" xfId="0" applyNumberFormat="1" applyFont="1" applyFill="1" applyBorder="1"/>
    <xf numFmtId="164" fontId="4" fillId="0" borderId="5" xfId="1" applyNumberFormat="1" applyFont="1" applyFill="1" applyBorder="1"/>
    <xf numFmtId="49" fontId="5" fillId="5" borderId="2" xfId="0" applyNumberFormat="1" applyFont="1" applyFill="1" applyBorder="1"/>
    <xf numFmtId="49" fontId="5" fillId="5" borderId="15" xfId="0" applyNumberFormat="1" applyFont="1" applyFill="1" applyBorder="1"/>
    <xf numFmtId="49" fontId="4" fillId="5" borderId="18" xfId="0" applyNumberFormat="1" applyFont="1" applyFill="1" applyBorder="1" applyAlignment="1">
      <alignment horizontal="center" vertical="center"/>
    </xf>
    <xf numFmtId="49" fontId="5" fillId="5" borderId="3" xfId="0" applyNumberFormat="1" applyFont="1" applyFill="1" applyBorder="1"/>
    <xf numFmtId="49" fontId="5" fillId="5" borderId="19" xfId="0" applyNumberFormat="1" applyFont="1" applyFill="1" applyBorder="1"/>
    <xf numFmtId="49" fontId="5" fillId="5" borderId="1" xfId="0" applyNumberFormat="1" applyFont="1" applyFill="1" applyBorder="1"/>
    <xf numFmtId="49" fontId="5" fillId="5" borderId="20" xfId="0" applyNumberFormat="1" applyFont="1" applyFill="1" applyBorder="1"/>
    <xf numFmtId="49" fontId="5" fillId="0" borderId="0" xfId="0" applyNumberFormat="1" applyFont="1" applyFill="1" applyBorder="1"/>
    <xf numFmtId="164" fontId="2" fillId="0" borderId="0" xfId="1" applyNumberFormat="1" applyFont="1" applyFill="1"/>
    <xf numFmtId="164" fontId="5" fillId="0" borderId="5" xfId="1" applyNumberFormat="1" applyFont="1" applyFill="1" applyBorder="1" applyAlignment="1">
      <alignment horizontal="right"/>
    </xf>
    <xf numFmtId="165" fontId="11" fillId="0" borderId="0" xfId="0" applyNumberFormat="1" applyFont="1" applyFill="1" applyBorder="1"/>
    <xf numFmtId="0" fontId="7" fillId="0" borderId="0" xfId="0" applyFont="1" applyFill="1" applyAlignment="1">
      <alignment horizontal="left"/>
    </xf>
    <xf numFmtId="49" fontId="6" fillId="0" borderId="0" xfId="0" applyNumberFormat="1" applyFont="1" applyFill="1" applyBorder="1"/>
    <xf numFmtId="49" fontId="4" fillId="0" borderId="6" xfId="0" applyNumberFormat="1" applyFont="1" applyBorder="1"/>
    <xf numFmtId="49" fontId="5" fillId="0" borderId="6" xfId="0" applyNumberFormat="1" applyFont="1" applyBorder="1"/>
    <xf numFmtId="164" fontId="5" fillId="0" borderId="6" xfId="1" applyNumberFormat="1" applyFont="1" applyFill="1" applyBorder="1"/>
    <xf numFmtId="49" fontId="4" fillId="0" borderId="4" xfId="0" applyNumberFormat="1" applyFont="1" applyBorder="1"/>
    <xf numFmtId="49" fontId="4" fillId="2" borderId="6" xfId="0" applyNumberFormat="1" applyFont="1" applyFill="1" applyBorder="1" applyAlignment="1">
      <alignment horizontal="center" wrapText="1"/>
    </xf>
    <xf numFmtId="0" fontId="0" fillId="0" borderId="0" xfId="0" applyFont="1" applyFill="1"/>
    <xf numFmtId="49" fontId="5" fillId="0" borderId="5" xfId="0" applyNumberFormat="1" applyFont="1" applyFill="1" applyBorder="1" applyAlignment="1">
      <alignment wrapText="1"/>
    </xf>
    <xf numFmtId="49" fontId="5" fillId="0" borderId="5" xfId="0" applyNumberFormat="1" applyFont="1" applyFill="1" applyBorder="1" applyAlignment="1"/>
    <xf numFmtId="49" fontId="4" fillId="2" borderId="3" xfId="0" applyNumberFormat="1" applyFont="1" applyFill="1" applyBorder="1" applyAlignment="1"/>
    <xf numFmtId="49" fontId="4" fillId="2" borderId="16" xfId="0" applyNumberFormat="1" applyFont="1" applyFill="1" applyBorder="1" applyAlignment="1"/>
    <xf numFmtId="49" fontId="4" fillId="4" borderId="0" xfId="0" applyNumberFormat="1" applyFont="1" applyFill="1" applyBorder="1" applyAlignment="1"/>
    <xf numFmtId="49" fontId="4" fillId="0" borderId="0" xfId="0" applyNumberFormat="1" applyFont="1" applyFill="1" applyBorder="1" applyAlignment="1"/>
    <xf numFmtId="49" fontId="4" fillId="4" borderId="17" xfId="0" applyNumberFormat="1" applyFont="1" applyFill="1" applyBorder="1" applyAlignment="1"/>
    <xf numFmtId="49" fontId="4" fillId="4" borderId="1" xfId="0" applyNumberFormat="1" applyFont="1" applyFill="1" applyBorder="1" applyAlignment="1"/>
    <xf numFmtId="49" fontId="4" fillId="5" borderId="5" xfId="0" applyNumberFormat="1" applyFont="1" applyFill="1" applyBorder="1" applyAlignment="1"/>
    <xf numFmtId="49" fontId="4" fillId="4" borderId="5" xfId="0" applyNumberFormat="1" applyFont="1" applyFill="1" applyBorder="1"/>
    <xf numFmtId="49" fontId="4" fillId="2" borderId="5" xfId="0" applyNumberFormat="1" applyFont="1" applyFill="1" applyBorder="1" applyAlignment="1">
      <alignment horizontal="center" vertical="center"/>
    </xf>
    <xf numFmtId="49" fontId="4" fillId="4" borderId="5" xfId="0" applyNumberFormat="1" applyFont="1" applyFill="1" applyBorder="1" applyAlignment="1">
      <alignment horizontal="center" vertical="center"/>
    </xf>
    <xf numFmtId="0" fontId="13" fillId="2" borderId="13" xfId="0" applyFont="1" applyFill="1" applyBorder="1"/>
    <xf numFmtId="0" fontId="3" fillId="0" borderId="27" xfId="0" applyFont="1" applyBorder="1"/>
    <xf numFmtId="0" fontId="9" fillId="0" borderId="15" xfId="0" applyFont="1" applyBorder="1"/>
    <xf numFmtId="0" fontId="0" fillId="2" borderId="28" xfId="0" applyFill="1" applyBorder="1"/>
    <xf numFmtId="0" fontId="0" fillId="2" borderId="3" xfId="0" applyFill="1" applyBorder="1"/>
    <xf numFmtId="164" fontId="3" fillId="0" borderId="0" xfId="1" applyNumberFormat="1" applyFont="1" applyBorder="1"/>
    <xf numFmtId="0" fontId="0" fillId="0" borderId="15" xfId="0" applyBorder="1"/>
    <xf numFmtId="0" fontId="0" fillId="0" borderId="18" xfId="0" applyBorder="1"/>
    <xf numFmtId="0" fontId="3" fillId="0" borderId="28" xfId="0" applyFont="1" applyBorder="1"/>
    <xf numFmtId="0" fontId="9" fillId="0" borderId="19" xfId="0" applyFont="1" applyBorder="1"/>
    <xf numFmtId="0" fontId="9" fillId="0" borderId="32" xfId="0" applyFont="1" applyBorder="1"/>
    <xf numFmtId="0" fontId="3" fillId="0" borderId="33" xfId="0" applyFont="1" applyBorder="1"/>
    <xf numFmtId="49" fontId="5" fillId="0" borderId="6" xfId="0" applyNumberFormat="1" applyFont="1" applyFill="1" applyBorder="1"/>
    <xf numFmtId="164" fontId="4" fillId="0" borderId="26" xfId="1" applyNumberFormat="1" applyFont="1" applyFill="1" applyBorder="1"/>
    <xf numFmtId="164" fontId="5" fillId="0" borderId="4" xfId="1" applyNumberFormat="1" applyFont="1" applyFill="1" applyBorder="1" applyAlignment="1">
      <alignment horizontal="right"/>
    </xf>
    <xf numFmtId="164" fontId="4" fillId="0" borderId="5" xfId="1" applyNumberFormat="1" applyFont="1" applyFill="1" applyBorder="1" applyAlignment="1">
      <alignment horizontal="right"/>
    </xf>
    <xf numFmtId="164" fontId="4" fillId="0" borderId="26" xfId="1" applyNumberFormat="1" applyFont="1" applyFill="1" applyBorder="1" applyAlignment="1">
      <alignment horizontal="right"/>
    </xf>
    <xf numFmtId="164" fontId="5" fillId="0" borderId="6" xfId="1" applyNumberFormat="1" applyFont="1" applyFill="1" applyBorder="1" applyAlignment="1">
      <alignment horizontal="right"/>
    </xf>
    <xf numFmtId="164" fontId="4" fillId="0" borderId="4" xfId="2" applyNumberFormat="1" applyFont="1" applyFill="1" applyBorder="1" applyAlignment="1">
      <alignment horizontal="center" wrapText="1"/>
    </xf>
    <xf numFmtId="164" fontId="4" fillId="0" borderId="7" xfId="2" applyNumberFormat="1" applyFont="1" applyFill="1" applyBorder="1" applyAlignment="1">
      <alignment horizontal="center" wrapText="1"/>
    </xf>
    <xf numFmtId="2" fontId="4" fillId="0" borderId="6" xfId="1" applyNumberFormat="1" applyFont="1" applyFill="1" applyBorder="1" applyAlignment="1">
      <alignment horizontal="center"/>
    </xf>
    <xf numFmtId="43" fontId="3" fillId="0" borderId="0" xfId="1" applyFont="1"/>
    <xf numFmtId="2" fontId="4" fillId="0" borderId="7" xfId="1" applyNumberFormat="1" applyFont="1" applyFill="1" applyBorder="1" applyAlignment="1">
      <alignment horizontal="center"/>
    </xf>
    <xf numFmtId="2" fontId="5" fillId="0" borderId="5" xfId="1" applyNumberFormat="1" applyFont="1" applyFill="1" applyBorder="1"/>
    <xf numFmtId="164" fontId="1" fillId="2" borderId="6" xfId="1" applyNumberFormat="1" applyFont="1" applyFill="1" applyBorder="1"/>
    <xf numFmtId="164" fontId="9" fillId="0" borderId="5" xfId="1" applyNumberFormat="1" applyFont="1" applyFill="1" applyBorder="1"/>
    <xf numFmtId="164" fontId="9" fillId="0" borderId="6" xfId="1" applyNumberFormat="1" applyFont="1" applyFill="1" applyBorder="1"/>
    <xf numFmtId="164" fontId="9" fillId="0" borderId="6" xfId="1" applyNumberFormat="1" applyFont="1" applyBorder="1"/>
    <xf numFmtId="164" fontId="9" fillId="0" borderId="30" xfId="1" applyNumberFormat="1" applyFont="1" applyFill="1" applyBorder="1"/>
    <xf numFmtId="164" fontId="9" fillId="0" borderId="4" xfId="1" applyNumberFormat="1" applyFont="1" applyFill="1" applyBorder="1"/>
    <xf numFmtId="164" fontId="9" fillId="0" borderId="31" xfId="1" applyNumberFormat="1" applyFont="1" applyFill="1" applyBorder="1"/>
    <xf numFmtId="164" fontId="9" fillId="0" borderId="31" xfId="1" applyNumberFormat="1" applyFont="1" applyBorder="1"/>
    <xf numFmtId="164" fontId="3" fillId="2" borderId="31" xfId="1" applyNumberFormat="1" applyFont="1" applyFill="1" applyBorder="1"/>
    <xf numFmtId="164" fontId="3" fillId="0" borderId="5" xfId="1" applyNumberFormat="1" applyFont="1" applyFill="1" applyBorder="1"/>
    <xf numFmtId="0" fontId="3" fillId="2" borderId="6" xfId="0" applyFont="1" applyFill="1" applyBorder="1" applyAlignment="1">
      <alignment horizontal="center"/>
    </xf>
    <xf numFmtId="4" fontId="0" fillId="0" borderId="0" xfId="0" applyNumberFormat="1"/>
    <xf numFmtId="43" fontId="0" fillId="0" borderId="0" xfId="1" applyFont="1" applyBorder="1"/>
    <xf numFmtId="43" fontId="0" fillId="0" borderId="0" xfId="0" applyNumberFormat="1"/>
    <xf numFmtId="0" fontId="0" fillId="0" borderId="0" xfId="0" applyAlignment="1">
      <alignment horizontal="center"/>
    </xf>
    <xf numFmtId="43" fontId="0" fillId="0" borderId="0" xfId="1" applyFont="1" applyAlignment="1">
      <alignment horizontal="center"/>
    </xf>
    <xf numFmtId="164" fontId="13" fillId="0" borderId="0" xfId="1" applyNumberFormat="1" applyFont="1"/>
    <xf numFmtId="164" fontId="17" fillId="0" borderId="0" xfId="0" applyNumberFormat="1" applyFont="1"/>
    <xf numFmtId="164" fontId="16" fillId="0" borderId="0" xfId="0" applyNumberFormat="1" applyFont="1"/>
    <xf numFmtId="164" fontId="1" fillId="0" borderId="5" xfId="1" applyNumberFormat="1" applyFont="1" applyFill="1" applyBorder="1"/>
    <xf numFmtId="164" fontId="4" fillId="0" borderId="6" xfId="1" applyNumberFormat="1" applyFont="1" applyFill="1" applyBorder="1" applyAlignment="1">
      <alignment horizontal="center"/>
    </xf>
    <xf numFmtId="164" fontId="5" fillId="0" borderId="5" xfId="2" applyNumberFormat="1" applyFont="1" applyFill="1" applyBorder="1" applyAlignment="1">
      <alignment horizontal="right"/>
    </xf>
    <xf numFmtId="49" fontId="4" fillId="0" borderId="7" xfId="0" applyNumberFormat="1" applyFont="1" applyFill="1" applyBorder="1" applyAlignment="1">
      <alignment horizontal="center" wrapText="1"/>
    </xf>
    <xf numFmtId="164" fontId="5" fillId="0" borderId="5" xfId="2" applyNumberFormat="1" applyFont="1" applyFill="1" applyBorder="1"/>
    <xf numFmtId="9" fontId="5" fillId="0" borderId="5" xfId="3" applyFont="1" applyFill="1" applyBorder="1" applyAlignment="1">
      <alignment horizontal="right"/>
    </xf>
    <xf numFmtId="164" fontId="5" fillId="0" borderId="5" xfId="4" applyNumberFormat="1" applyFont="1" applyFill="1" applyBorder="1"/>
    <xf numFmtId="164" fontId="5" fillId="0" borderId="15" xfId="1" applyNumberFormat="1" applyFont="1" applyFill="1" applyBorder="1" applyAlignment="1"/>
    <xf numFmtId="164" fontId="5" fillId="0" borderId="5" xfId="1" applyNumberFormat="1" applyFont="1" applyFill="1" applyBorder="1" applyAlignment="1"/>
    <xf numFmtId="164" fontId="0" fillId="0" borderId="0" xfId="0" applyNumberFormat="1" applyFill="1"/>
    <xf numFmtId="0" fontId="3" fillId="0" borderId="6" xfId="0" applyFont="1" applyFill="1" applyBorder="1"/>
    <xf numFmtId="164" fontId="1" fillId="0" borderId="6" xfId="1" applyNumberFormat="1" applyFont="1" applyFill="1" applyBorder="1"/>
    <xf numFmtId="164" fontId="3" fillId="0" borderId="6" xfId="1" applyNumberFormat="1" applyFont="1" applyFill="1" applyBorder="1"/>
    <xf numFmtId="164" fontId="0" fillId="0" borderId="5" xfId="1" applyNumberFormat="1" applyFont="1" applyFill="1" applyBorder="1"/>
    <xf numFmtId="164" fontId="3" fillId="0" borderId="31" xfId="1" applyNumberFormat="1" applyFont="1" applyFill="1" applyBorder="1"/>
    <xf numFmtId="43" fontId="1" fillId="0" borderId="6" xfId="1" applyNumberFormat="1" applyFont="1" applyFill="1" applyBorder="1"/>
    <xf numFmtId="167" fontId="0" fillId="0" borderId="0" xfId="1" applyNumberFormat="1" applyFont="1"/>
    <xf numFmtId="10" fontId="5" fillId="0" borderId="5" xfId="1" applyNumberFormat="1" applyFont="1" applyFill="1" applyBorder="1"/>
    <xf numFmtId="49" fontId="5" fillId="0" borderId="0" xfId="0" applyNumberFormat="1" applyFont="1" applyFill="1" applyAlignment="1">
      <alignment horizontal="left"/>
    </xf>
    <xf numFmtId="1" fontId="5" fillId="0" borderId="5" xfId="0" applyNumberFormat="1" applyFont="1" applyBorder="1"/>
    <xf numFmtId="164" fontId="4" fillId="4" borderId="5" xfId="1" applyNumberFormat="1" applyFont="1" applyFill="1" applyBorder="1" applyAlignment="1">
      <alignment horizontal="center" vertical="center"/>
    </xf>
    <xf numFmtId="14" fontId="3" fillId="2" borderId="6" xfId="0" applyNumberFormat="1" applyFont="1" applyFill="1" applyBorder="1" applyAlignment="1">
      <alignment horizontal="center"/>
    </xf>
    <xf numFmtId="49" fontId="4" fillId="0" borderId="5" xfId="0" applyNumberFormat="1" applyFont="1" applyFill="1" applyBorder="1" applyAlignment="1">
      <alignment horizontal="center"/>
    </xf>
    <xf numFmtId="43" fontId="0" fillId="0" borderId="0" xfId="1" applyFont="1" applyFill="1"/>
    <xf numFmtId="43" fontId="0" fillId="0" borderId="0" xfId="2" applyFont="1" applyFill="1"/>
    <xf numFmtId="164" fontId="0" fillId="0" borderId="0" xfId="0" applyNumberFormat="1" applyFont="1" applyFill="1"/>
    <xf numFmtId="49" fontId="0" fillId="0" borderId="0" xfId="0" applyNumberFormat="1" applyFill="1"/>
    <xf numFmtId="49" fontId="5" fillId="0" borderId="4" xfId="0" applyNumberFormat="1" applyFont="1" applyFill="1" applyBorder="1"/>
    <xf numFmtId="49" fontId="4" fillId="0" borderId="7" xfId="0" applyNumberFormat="1" applyFont="1" applyFill="1" applyBorder="1"/>
    <xf numFmtId="164" fontId="4" fillId="0" borderId="4" xfId="1" applyNumberFormat="1" applyFont="1" applyFill="1" applyBorder="1" applyAlignment="1">
      <alignment horizontal="center" wrapText="1"/>
    </xf>
    <xf numFmtId="164" fontId="4" fillId="0" borderId="7" xfId="1" applyNumberFormat="1" applyFont="1" applyFill="1" applyBorder="1" applyAlignment="1">
      <alignment horizontal="center" wrapText="1"/>
    </xf>
    <xf numFmtId="164" fontId="4" fillId="0" borderId="7" xfId="1" applyNumberFormat="1" applyFont="1" applyFill="1" applyBorder="1" applyAlignment="1">
      <alignment horizontal="center"/>
    </xf>
    <xf numFmtId="164" fontId="4" fillId="0" borderId="7" xfId="2" applyNumberFormat="1" applyFont="1" applyFill="1" applyBorder="1" applyAlignment="1">
      <alignment horizontal="center"/>
    </xf>
    <xf numFmtId="49" fontId="5" fillId="0" borderId="7" xfId="0" applyNumberFormat="1" applyFont="1" applyFill="1" applyBorder="1"/>
    <xf numFmtId="49" fontId="4" fillId="0" borderId="7" xfId="0" applyNumberFormat="1" applyFont="1" applyFill="1" applyBorder="1" applyAlignment="1">
      <alignment horizontal="center"/>
    </xf>
    <xf numFmtId="164" fontId="4" fillId="0" borderId="6" xfId="2" applyNumberFormat="1" applyFont="1" applyFill="1" applyBorder="1" applyAlignment="1">
      <alignment horizontal="center"/>
    </xf>
    <xf numFmtId="49" fontId="3" fillId="0" borderId="0" xfId="0" applyNumberFormat="1" applyFont="1" applyFill="1"/>
    <xf numFmtId="43" fontId="1" fillId="0" borderId="0" xfId="1" applyFont="1" applyFill="1"/>
    <xf numFmtId="49" fontId="1" fillId="0" borderId="0" xfId="0" applyNumberFormat="1" applyFont="1" applyFill="1"/>
    <xf numFmtId="43" fontId="3" fillId="0" borderId="0" xfId="1" applyFont="1" applyFill="1"/>
    <xf numFmtId="164" fontId="4" fillId="0" borderId="5" xfId="2" applyNumberFormat="1" applyFont="1" applyFill="1" applyBorder="1"/>
    <xf numFmtId="49" fontId="5" fillId="0" borderId="17" xfId="0" applyNumberFormat="1" applyFont="1" applyFill="1" applyBorder="1"/>
    <xf numFmtId="164" fontId="5" fillId="0" borderId="1" xfId="1" applyNumberFormat="1" applyFont="1" applyFill="1" applyBorder="1"/>
    <xf numFmtId="164" fontId="5" fillId="0" borderId="20" xfId="1" applyNumberFormat="1" applyFont="1" applyFill="1" applyBorder="1"/>
    <xf numFmtId="49" fontId="3" fillId="0" borderId="0" xfId="0" applyNumberFormat="1" applyFont="1" applyFill="1" applyBorder="1"/>
    <xf numFmtId="49" fontId="0" fillId="0" borderId="0" xfId="0" applyNumberFormat="1" applyFill="1" applyBorder="1"/>
    <xf numFmtId="164" fontId="5" fillId="0" borderId="6" xfId="2" applyNumberFormat="1" applyFont="1" applyFill="1" applyBorder="1"/>
    <xf numFmtId="49" fontId="0" fillId="0" borderId="16" xfId="0" applyNumberFormat="1" applyFill="1" applyBorder="1"/>
    <xf numFmtId="44" fontId="0" fillId="0" borderId="0" xfId="0" applyNumberFormat="1" applyFill="1"/>
    <xf numFmtId="2" fontId="3" fillId="0" borderId="0" xfId="0" applyNumberFormat="1" applyFont="1" applyFill="1"/>
    <xf numFmtId="43" fontId="13" fillId="0" borderId="0" xfId="1" applyFont="1" applyFill="1"/>
    <xf numFmtId="49" fontId="13" fillId="0" borderId="0" xfId="0" applyNumberFormat="1" applyFont="1" applyFill="1"/>
    <xf numFmtId="49" fontId="14" fillId="0" borderId="0" xfId="0" applyNumberFormat="1" applyFont="1" applyFill="1"/>
    <xf numFmtId="164" fontId="5" fillId="0" borderId="0" xfId="1" applyNumberFormat="1" applyFont="1" applyFill="1"/>
    <xf numFmtId="4" fontId="2" fillId="0" borderId="0" xfId="1" applyNumberFormat="1" applyFont="1" applyFill="1"/>
    <xf numFmtId="2" fontId="2" fillId="0" borderId="0" xfId="1" applyNumberFormat="1" applyFont="1" applyFill="1"/>
    <xf numFmtId="164" fontId="5" fillId="0" borderId="4" xfId="1" applyNumberFormat="1" applyFont="1" applyFill="1" applyBorder="1"/>
    <xf numFmtId="164" fontId="5" fillId="0" borderId="19" xfId="1" applyNumberFormat="1" applyFont="1" applyFill="1" applyBorder="1"/>
    <xf numFmtId="164" fontId="4" fillId="0" borderId="4" xfId="1" applyNumberFormat="1" applyFont="1" applyFill="1" applyBorder="1"/>
    <xf numFmtId="164" fontId="4" fillId="0" borderId="6" xfId="1" applyNumberFormat="1" applyFont="1" applyFill="1" applyBorder="1"/>
    <xf numFmtId="164" fontId="4" fillId="0" borderId="5" xfId="1" applyNumberFormat="1" applyFont="1" applyFill="1" applyBorder="1" applyAlignment="1"/>
    <xf numFmtId="164" fontId="22" fillId="0" borderId="15" xfId="1" applyNumberFormat="1" applyFont="1" applyFill="1" applyBorder="1" applyAlignment="1"/>
    <xf numFmtId="164" fontId="5" fillId="0" borderId="15" xfId="1" applyNumberFormat="1" applyFont="1" applyFill="1" applyBorder="1"/>
    <xf numFmtId="49" fontId="4" fillId="0" borderId="7" xfId="6" applyNumberFormat="1" applyFont="1" applyFill="1" applyBorder="1" applyAlignment="1">
      <alignment horizontal="right"/>
    </xf>
    <xf numFmtId="164" fontId="4" fillId="0" borderId="26" xfId="2" applyNumberFormat="1" applyFont="1" applyFill="1" applyBorder="1"/>
    <xf numFmtId="164" fontId="4" fillId="0" borderId="26" xfId="2" applyNumberFormat="1" applyFont="1" applyFill="1" applyBorder="1" applyAlignment="1">
      <alignment horizontal="right"/>
    </xf>
    <xf numFmtId="164" fontId="5" fillId="0" borderId="4" xfId="2" applyNumberFormat="1" applyFont="1" applyFill="1" applyBorder="1" applyAlignment="1">
      <alignment horizontal="right"/>
    </xf>
    <xf numFmtId="164" fontId="4" fillId="0" borderId="5" xfId="2" applyNumberFormat="1" applyFont="1" applyFill="1" applyBorder="1" applyAlignment="1">
      <alignment horizontal="right"/>
    </xf>
    <xf numFmtId="164" fontId="5" fillId="0" borderId="6" xfId="2" applyNumberFormat="1" applyFont="1" applyFill="1" applyBorder="1" applyAlignment="1">
      <alignment horizontal="right"/>
    </xf>
    <xf numFmtId="0" fontId="0" fillId="0" borderId="0" xfId="0" applyFill="1" applyBorder="1"/>
    <xf numFmtId="43" fontId="0" fillId="0" borderId="0" xfId="0" applyNumberFormat="1" applyFill="1" applyBorder="1"/>
    <xf numFmtId="0" fontId="4" fillId="0" borderId="0" xfId="0" applyFont="1" applyFill="1"/>
    <xf numFmtId="0" fontId="10" fillId="0" borderId="0" xfId="0" applyFont="1" applyFill="1" applyAlignment="1">
      <alignment horizontal="left"/>
    </xf>
    <xf numFmtId="0" fontId="11" fillId="0" borderId="0" xfId="0" applyFont="1" applyFill="1" applyBorder="1"/>
    <xf numFmtId="0" fontId="7" fillId="0" borderId="0" xfId="0" applyFont="1" applyFill="1" applyAlignment="1">
      <alignment horizontal="left" wrapText="1"/>
    </xf>
    <xf numFmtId="49" fontId="4" fillId="0" borderId="0" xfId="0" applyNumberFormat="1" applyFont="1" applyFill="1"/>
    <xf numFmtId="49" fontId="5" fillId="0" borderId="0" xfId="0" applyNumberFormat="1" applyFont="1" applyFill="1" applyAlignment="1">
      <alignment horizontal="center"/>
    </xf>
    <xf numFmtId="14" fontId="3" fillId="2" borderId="7" xfId="0" applyNumberFormat="1" applyFont="1" applyFill="1" applyBorder="1" applyAlignment="1">
      <alignment horizontal="center"/>
    </xf>
    <xf numFmtId="14" fontId="3" fillId="2" borderId="20" xfId="0" applyNumberFormat="1" applyFont="1" applyFill="1" applyBorder="1" applyAlignment="1">
      <alignment horizontal="center"/>
    </xf>
    <xf numFmtId="0" fontId="3" fillId="2" borderId="19" xfId="0" applyFont="1" applyFill="1" applyBorder="1" applyAlignment="1">
      <alignment horizontal="center"/>
    </xf>
    <xf numFmtId="0" fontId="3" fillId="2" borderId="21" xfId="0" applyFont="1" applyFill="1" applyBorder="1" applyAlignment="1">
      <alignment horizontal="center"/>
    </xf>
    <xf numFmtId="167" fontId="0" fillId="0" borderId="0" xfId="0" applyNumberFormat="1"/>
    <xf numFmtId="0" fontId="13" fillId="0" borderId="0" xfId="0" applyFont="1"/>
    <xf numFmtId="43" fontId="0" fillId="7" borderId="0" xfId="1" applyFont="1" applyFill="1"/>
    <xf numFmtId="43" fontId="0" fillId="7" borderId="0" xfId="1" applyFont="1" applyFill="1" applyBorder="1"/>
    <xf numFmtId="4" fontId="16" fillId="0" borderId="0" xfId="0" applyNumberFormat="1" applyFont="1" applyBorder="1"/>
    <xf numFmtId="4" fontId="16" fillId="0" borderId="0" xfId="0" applyNumberFormat="1" applyFont="1"/>
    <xf numFmtId="43" fontId="0" fillId="7" borderId="0" xfId="0" applyNumberFormat="1" applyFill="1"/>
    <xf numFmtId="43" fontId="3" fillId="0" borderId="0" xfId="1" applyFont="1" applyBorder="1"/>
    <xf numFmtId="0" fontId="3" fillId="0" borderId="4" xfId="0" applyFont="1" applyFill="1" applyBorder="1" applyAlignment="1">
      <alignment horizontal="center"/>
    </xf>
    <xf numFmtId="0" fontId="3" fillId="0" borderId="7" xfId="0" applyFont="1" applyFill="1" applyBorder="1" applyAlignment="1">
      <alignment horizontal="center"/>
    </xf>
    <xf numFmtId="14" fontId="3" fillId="0" borderId="7" xfId="0" applyNumberFormat="1" applyFont="1" applyFill="1" applyBorder="1" applyAlignment="1">
      <alignment horizontal="center"/>
    </xf>
    <xf numFmtId="14" fontId="3" fillId="0" borderId="6" xfId="0" applyNumberFormat="1" applyFont="1" applyFill="1" applyBorder="1" applyAlignment="1">
      <alignment horizontal="center"/>
    </xf>
    <xf numFmtId="164" fontId="0" fillId="0" borderId="0" xfId="1" applyNumberFormat="1" applyFont="1" applyFill="1"/>
    <xf numFmtId="164" fontId="3" fillId="0" borderId="4" xfId="1" applyNumberFormat="1" applyFont="1" applyFill="1" applyBorder="1" applyAlignment="1">
      <alignment horizontal="center"/>
    </xf>
    <xf numFmtId="164" fontId="3" fillId="0" borderId="7" xfId="1" applyNumberFormat="1" applyFont="1" applyFill="1" applyBorder="1" applyAlignment="1">
      <alignment horizontal="center"/>
    </xf>
    <xf numFmtId="0" fontId="3" fillId="0" borderId="6" xfId="0" applyFont="1" applyFill="1" applyBorder="1" applyAlignment="1">
      <alignment horizontal="center"/>
    </xf>
    <xf numFmtId="164" fontId="0" fillId="0" borderId="0" xfId="1" applyNumberFormat="1" applyFont="1" applyFill="1" applyBorder="1"/>
    <xf numFmtId="164" fontId="8" fillId="0" borderId="0" xfId="1" applyNumberFormat="1" applyFont="1" applyFill="1"/>
    <xf numFmtId="164" fontId="8" fillId="0" borderId="0" xfId="1" applyNumberFormat="1" applyFont="1" applyFill="1" applyBorder="1"/>
    <xf numFmtId="49" fontId="4" fillId="0" borderId="5" xfId="0" applyNumberFormat="1" applyFont="1" applyFill="1" applyBorder="1" applyAlignment="1">
      <alignment horizontal="center"/>
    </xf>
    <xf numFmtId="164" fontId="5" fillId="8" borderId="5" xfId="2" applyNumberFormat="1" applyFont="1" applyFill="1" applyBorder="1"/>
    <xf numFmtId="164" fontId="5" fillId="8" borderId="5" xfId="2" applyNumberFormat="1" applyFont="1" applyFill="1" applyBorder="1" applyAlignment="1">
      <alignment horizontal="right"/>
    </xf>
    <xf numFmtId="164" fontId="4" fillId="8" borderId="26" xfId="2" applyNumberFormat="1" applyFont="1" applyFill="1" applyBorder="1"/>
    <xf numFmtId="164" fontId="4" fillId="8" borderId="26" xfId="2" applyNumberFormat="1" applyFont="1" applyFill="1" applyBorder="1" applyAlignment="1">
      <alignment horizontal="right"/>
    </xf>
    <xf numFmtId="164" fontId="5" fillId="8" borderId="6" xfId="2" applyNumberFormat="1" applyFont="1" applyFill="1" applyBorder="1" applyAlignment="1">
      <alignment horizontal="right"/>
    </xf>
    <xf numFmtId="164" fontId="4" fillId="8" borderId="5" xfId="2" applyNumberFormat="1" applyFont="1" applyFill="1" applyBorder="1" applyAlignment="1">
      <alignment horizontal="right"/>
    </xf>
    <xf numFmtId="164" fontId="4" fillId="9" borderId="5" xfId="2" applyNumberFormat="1" applyFont="1" applyFill="1" applyBorder="1"/>
    <xf numFmtId="43" fontId="3" fillId="9" borderId="0" xfId="1" applyFont="1" applyFill="1"/>
    <xf numFmtId="3" fontId="7" fillId="0" borderId="5" xfId="0" applyNumberFormat="1" applyFont="1" applyFill="1" applyBorder="1" applyAlignment="1">
      <alignment horizontal="right"/>
    </xf>
    <xf numFmtId="10" fontId="7" fillId="0" borderId="5" xfId="5" applyNumberFormat="1" applyFont="1" applyFill="1" applyBorder="1" applyAlignment="1">
      <alignment horizontal="right"/>
    </xf>
    <xf numFmtId="166" fontId="0" fillId="0" borderId="0" xfId="0" applyNumberFormat="1" applyFill="1"/>
    <xf numFmtId="164" fontId="7" fillId="0" borderId="5" xfId="2" applyNumberFormat="1" applyFont="1" applyFill="1" applyBorder="1"/>
    <xf numFmtId="10" fontId="5" fillId="0" borderId="5" xfId="2" applyNumberFormat="1" applyFont="1" applyFill="1" applyBorder="1"/>
    <xf numFmtId="164" fontId="21" fillId="0" borderId="5" xfId="2" applyNumberFormat="1" applyFont="1" applyFill="1" applyBorder="1"/>
    <xf numFmtId="164" fontId="4" fillId="0" borderId="15" xfId="1" applyNumberFormat="1" applyFont="1" applyFill="1" applyBorder="1" applyAlignment="1"/>
    <xf numFmtId="164" fontId="4" fillId="0" borderId="0" xfId="1" applyNumberFormat="1" applyFont="1" applyFill="1" applyBorder="1"/>
    <xf numFmtId="164" fontId="21" fillId="0" borderId="5" xfId="2" applyNumberFormat="1" applyFont="1" applyFill="1" applyBorder="1" applyAlignment="1">
      <alignment horizontal="right"/>
    </xf>
    <xf numFmtId="3" fontId="5" fillId="0" borderId="5" xfId="2" applyNumberFormat="1" applyFont="1" applyFill="1" applyBorder="1" applyAlignment="1">
      <alignment horizontal="right"/>
    </xf>
    <xf numFmtId="3" fontId="5" fillId="0" borderId="5" xfId="1" applyNumberFormat="1" applyFont="1" applyFill="1" applyBorder="1" applyAlignment="1">
      <alignment horizontal="right"/>
    </xf>
    <xf numFmtId="10" fontId="5" fillId="0" borderId="5" xfId="5" applyNumberFormat="1" applyFont="1" applyFill="1" applyBorder="1" applyAlignment="1">
      <alignment horizontal="right" wrapText="1"/>
    </xf>
    <xf numFmtId="10" fontId="12" fillId="0" borderId="0" xfId="0" applyNumberFormat="1" applyFont="1" applyFill="1"/>
    <xf numFmtId="10" fontId="5" fillId="0" borderId="5" xfId="5" applyNumberFormat="1" applyFont="1" applyFill="1" applyBorder="1" applyAlignment="1">
      <alignment horizontal="right"/>
    </xf>
    <xf numFmtId="10" fontId="5" fillId="0" borderId="5" xfId="5" applyNumberFormat="1" applyFont="1" applyFill="1" applyBorder="1" applyAlignment="1">
      <alignment horizontal="center"/>
    </xf>
    <xf numFmtId="10" fontId="5" fillId="0" borderId="5" xfId="3" applyNumberFormat="1" applyFont="1" applyFill="1" applyBorder="1" applyAlignment="1">
      <alignment horizontal="center"/>
    </xf>
    <xf numFmtId="10" fontId="12" fillId="0" borderId="5" xfId="0" applyNumberFormat="1" applyFont="1" applyFill="1" applyBorder="1"/>
    <xf numFmtId="10" fontId="5" fillId="0" borderId="5" xfId="0" applyNumberFormat="1" applyFont="1" applyFill="1" applyBorder="1" applyAlignment="1">
      <alignment horizontal="right"/>
    </xf>
    <xf numFmtId="164" fontId="4" fillId="0" borderId="5" xfId="1" applyNumberFormat="1" applyFont="1" applyFill="1" applyBorder="1" applyAlignment="1">
      <alignment horizontal="center"/>
    </xf>
    <xf numFmtId="49" fontId="4" fillId="0" borderId="2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19"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0" xfId="0" applyNumberFormat="1" applyFont="1" applyFill="1" applyBorder="1" applyAlignment="1">
      <alignment horizontal="center"/>
    </xf>
    <xf numFmtId="49" fontId="4" fillId="0" borderId="21" xfId="0" applyNumberFormat="1" applyFont="1" applyFill="1" applyBorder="1" applyAlignment="1">
      <alignment horizontal="center"/>
    </xf>
    <xf numFmtId="49" fontId="4" fillId="0" borderId="17" xfId="0" applyNumberFormat="1" applyFont="1" applyFill="1" applyBorder="1" applyAlignment="1">
      <alignment horizontal="center"/>
    </xf>
    <xf numFmtId="49" fontId="4" fillId="0" borderId="1" xfId="0" applyNumberFormat="1" applyFont="1" applyFill="1" applyBorder="1" applyAlignment="1">
      <alignment horizontal="center"/>
    </xf>
    <xf numFmtId="49" fontId="4" fillId="0" borderId="20" xfId="0" applyNumberFormat="1" applyFont="1" applyFill="1" applyBorder="1" applyAlignment="1">
      <alignment horizontal="center"/>
    </xf>
    <xf numFmtId="0" fontId="4" fillId="0" borderId="16" xfId="0" applyNumberFormat="1" applyFont="1" applyFill="1" applyBorder="1" applyAlignment="1">
      <alignment horizontal="center"/>
    </xf>
    <xf numFmtId="0" fontId="4" fillId="0" borderId="0" xfId="0" applyNumberFormat="1" applyFont="1" applyFill="1" applyBorder="1" applyAlignment="1">
      <alignment horizontal="center"/>
    </xf>
    <xf numFmtId="0" fontId="4" fillId="0" borderId="21" xfId="0" applyNumberFormat="1" applyFont="1" applyFill="1" applyBorder="1" applyAlignment="1">
      <alignment horizontal="center"/>
    </xf>
    <xf numFmtId="164" fontId="4" fillId="0" borderId="2" xfId="1" applyNumberFormat="1" applyFont="1" applyFill="1" applyBorder="1" applyAlignment="1">
      <alignment horizontal="center"/>
    </xf>
    <xf numFmtId="164" fontId="4" fillId="0" borderId="15" xfId="1" applyNumberFormat="1" applyFont="1" applyFill="1" applyBorder="1" applyAlignment="1">
      <alignment horizontal="center"/>
    </xf>
    <xf numFmtId="164" fontId="4" fillId="0" borderId="18" xfId="1" applyNumberFormat="1" applyFont="1" applyFill="1" applyBorder="1" applyAlignment="1">
      <alignment horizontal="center"/>
    </xf>
    <xf numFmtId="164" fontId="5" fillId="0" borderId="4" xfId="1" applyNumberFormat="1" applyFont="1" applyFill="1" applyBorder="1" applyAlignment="1">
      <alignment horizontal="center" vertical="center"/>
    </xf>
    <xf numFmtId="164" fontId="5" fillId="0" borderId="6" xfId="1" applyNumberFormat="1" applyFont="1" applyFill="1" applyBorder="1" applyAlignment="1">
      <alignment horizontal="center" vertical="center"/>
    </xf>
    <xf numFmtId="164" fontId="5" fillId="0" borderId="7" xfId="1" applyNumberFormat="1" applyFont="1" applyFill="1" applyBorder="1" applyAlignment="1">
      <alignment horizontal="center" vertical="center"/>
    </xf>
    <xf numFmtId="164" fontId="5" fillId="0" borderId="4" xfId="2" applyNumberFormat="1" applyFont="1" applyFill="1" applyBorder="1" applyAlignment="1">
      <alignment horizontal="center" vertical="center"/>
    </xf>
    <xf numFmtId="164" fontId="5" fillId="0" borderId="6" xfId="2" applyNumberFormat="1" applyFont="1" applyFill="1" applyBorder="1" applyAlignment="1">
      <alignment horizontal="center" vertical="center"/>
    </xf>
    <xf numFmtId="2" fontId="4" fillId="0" borderId="18" xfId="1" applyNumberFormat="1" applyFont="1" applyFill="1" applyBorder="1" applyAlignment="1">
      <alignment horizontal="center"/>
    </xf>
    <xf numFmtId="2" fontId="4" fillId="0" borderId="15" xfId="1" applyNumberFormat="1" applyFont="1" applyFill="1" applyBorder="1" applyAlignment="1">
      <alignment horizontal="center"/>
    </xf>
    <xf numFmtId="164" fontId="4" fillId="0" borderId="4" xfId="2" applyNumberFormat="1" applyFont="1" applyFill="1" applyBorder="1" applyAlignment="1">
      <alignment horizontal="center" vertical="center"/>
    </xf>
    <xf numFmtId="164" fontId="4" fillId="0" borderId="6" xfId="2" applyNumberFormat="1" applyFont="1" applyFill="1" applyBorder="1" applyAlignment="1">
      <alignment horizontal="center" vertical="center"/>
    </xf>
    <xf numFmtId="164" fontId="4" fillId="0" borderId="4" xfId="1" applyNumberFormat="1" applyFont="1" applyFill="1" applyBorder="1" applyAlignment="1">
      <alignment horizontal="center" vertical="center"/>
    </xf>
    <xf numFmtId="164" fontId="4" fillId="0" borderId="6" xfId="1" applyNumberFormat="1" applyFont="1" applyFill="1" applyBorder="1" applyAlignment="1">
      <alignment horizontal="center" vertical="center"/>
    </xf>
    <xf numFmtId="49" fontId="4" fillId="2" borderId="7"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6" borderId="18" xfId="0" applyNumberFormat="1" applyFont="1" applyFill="1" applyBorder="1" applyAlignment="1">
      <alignment horizontal="center"/>
    </xf>
    <xf numFmtId="49" fontId="4" fillId="6" borderId="2" xfId="0" applyNumberFormat="1" applyFont="1" applyFill="1" applyBorder="1" applyAlignment="1">
      <alignment horizontal="center"/>
    </xf>
    <xf numFmtId="49" fontId="4" fillId="6" borderId="15" xfId="0" applyNumberFormat="1" applyFont="1" applyFill="1" applyBorder="1" applyAlignment="1">
      <alignment horizontal="center"/>
    </xf>
    <xf numFmtId="49" fontId="4" fillId="2" borderId="22" xfId="0" applyNumberFormat="1" applyFont="1" applyFill="1" applyBorder="1" applyAlignment="1">
      <alignment horizontal="center"/>
    </xf>
    <xf numFmtId="49" fontId="4" fillId="2" borderId="3" xfId="0" applyNumberFormat="1" applyFont="1" applyFill="1" applyBorder="1" applyAlignment="1">
      <alignment horizontal="center"/>
    </xf>
    <xf numFmtId="49" fontId="4" fillId="2" borderId="19" xfId="0" applyNumberFormat="1" applyFont="1" applyFill="1" applyBorder="1" applyAlignment="1">
      <alignment horizontal="center"/>
    </xf>
    <xf numFmtId="49" fontId="4" fillId="2" borderId="16" xfId="0" applyNumberFormat="1" applyFont="1" applyFill="1" applyBorder="1" applyAlignment="1">
      <alignment horizontal="center"/>
    </xf>
    <xf numFmtId="49" fontId="4" fillId="2" borderId="0" xfId="0" applyNumberFormat="1" applyFont="1" applyFill="1" applyBorder="1" applyAlignment="1">
      <alignment horizontal="center"/>
    </xf>
    <xf numFmtId="49" fontId="4" fillId="2" borderId="21" xfId="0" applyNumberFormat="1" applyFont="1" applyFill="1" applyBorder="1" applyAlignment="1">
      <alignment horizontal="center"/>
    </xf>
    <xf numFmtId="49" fontId="4" fillId="3" borderId="18" xfId="0" applyNumberFormat="1" applyFont="1" applyFill="1" applyBorder="1" applyAlignment="1">
      <alignment horizontal="center"/>
    </xf>
    <xf numFmtId="49" fontId="4" fillId="3" borderId="2" xfId="0" applyNumberFormat="1" applyFont="1" applyFill="1" applyBorder="1" applyAlignment="1">
      <alignment horizontal="center"/>
    </xf>
    <xf numFmtId="49" fontId="4" fillId="3" borderId="15" xfId="0" applyNumberFormat="1" applyFont="1" applyFill="1" applyBorder="1" applyAlignment="1">
      <alignment horizontal="center"/>
    </xf>
    <xf numFmtId="49" fontId="4" fillId="2" borderId="17" xfId="0" applyNumberFormat="1" applyFont="1" applyFill="1" applyBorder="1" applyAlignment="1">
      <alignment horizontal="center"/>
    </xf>
    <xf numFmtId="49" fontId="4" fillId="2" borderId="1" xfId="0" applyNumberFormat="1" applyFont="1" applyFill="1" applyBorder="1" applyAlignment="1">
      <alignment horizontal="center"/>
    </xf>
    <xf numFmtId="49" fontId="4" fillId="2" borderId="20" xfId="0" applyNumberFormat="1" applyFont="1" applyFill="1" applyBorder="1" applyAlignment="1">
      <alignment horizontal="center"/>
    </xf>
    <xf numFmtId="49" fontId="4" fillId="5" borderId="4" xfId="0" applyNumberFormat="1" applyFont="1" applyFill="1" applyBorder="1" applyAlignment="1">
      <alignment horizontal="center" vertical="center"/>
    </xf>
    <xf numFmtId="49" fontId="4" fillId="5" borderId="6" xfId="0" applyNumberFormat="1" applyFont="1" applyFill="1" applyBorder="1" applyAlignment="1">
      <alignment horizontal="center" vertical="center"/>
    </xf>
    <xf numFmtId="49" fontId="4" fillId="0" borderId="5" xfId="0" applyNumberFormat="1" applyFont="1" applyFill="1" applyBorder="1" applyAlignment="1">
      <alignment horizontal="center"/>
    </xf>
    <xf numFmtId="0" fontId="7" fillId="0" borderId="0" xfId="0" applyFont="1" applyFill="1" applyAlignment="1">
      <alignment horizontal="left" wrapText="1"/>
    </xf>
    <xf numFmtId="0" fontId="7" fillId="0" borderId="0" xfId="0" applyFont="1" applyFill="1" applyAlignment="1">
      <alignment horizontal="left"/>
    </xf>
    <xf numFmtId="49" fontId="4" fillId="0" borderId="0" xfId="0" applyNumberFormat="1" applyFont="1" applyFill="1" applyAlignment="1">
      <alignment horizontal="left"/>
    </xf>
    <xf numFmtId="49" fontId="4" fillId="0" borderId="0" xfId="0" applyNumberFormat="1" applyFont="1" applyFill="1" applyAlignment="1">
      <alignment horizontal="center"/>
    </xf>
    <xf numFmtId="0" fontId="7" fillId="0" borderId="0" xfId="0" applyFont="1" applyFill="1" applyAlignment="1">
      <alignment horizontal="left" vertical="top" wrapText="1"/>
    </xf>
    <xf numFmtId="49" fontId="4" fillId="0" borderId="4"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10" fontId="7" fillId="0" borderId="4" xfId="0" applyNumberFormat="1" applyFont="1" applyFill="1" applyBorder="1" applyAlignment="1">
      <alignment horizontal="right" vertical="center"/>
    </xf>
    <xf numFmtId="10" fontId="7" fillId="0" borderId="6" xfId="0" applyNumberFormat="1" applyFont="1" applyFill="1" applyBorder="1" applyAlignment="1">
      <alignment horizontal="right" vertical="center"/>
    </xf>
    <xf numFmtId="49" fontId="5" fillId="0" borderId="4" xfId="0" applyNumberFormat="1" applyFont="1" applyFill="1" applyBorder="1" applyAlignment="1">
      <alignment horizontal="right" vertical="center"/>
    </xf>
    <xf numFmtId="49" fontId="5" fillId="0" borderId="6" xfId="0" applyNumberFormat="1" applyFont="1" applyFill="1" applyBorder="1" applyAlignment="1">
      <alignment horizontal="right" vertical="center"/>
    </xf>
    <xf numFmtId="0" fontId="7" fillId="0" borderId="0" xfId="0" applyFont="1" applyFill="1" applyAlignment="1">
      <alignment horizontal="left" vertical="top"/>
    </xf>
    <xf numFmtId="49" fontId="4" fillId="4" borderId="16" xfId="0" applyNumberFormat="1" applyFont="1" applyFill="1" applyBorder="1" applyAlignment="1">
      <alignment horizontal="center"/>
    </xf>
    <xf numFmtId="49" fontId="4" fillId="4" borderId="0" xfId="0" applyNumberFormat="1" applyFont="1" applyFill="1" applyBorder="1" applyAlignment="1">
      <alignment horizontal="center"/>
    </xf>
    <xf numFmtId="0" fontId="13" fillId="2" borderId="27" xfId="0" applyFont="1" applyFill="1" applyBorder="1" applyAlignment="1">
      <alignment horizontal="left"/>
    </xf>
    <xf numFmtId="0" fontId="13" fillId="2" borderId="15" xfId="0" applyFont="1" applyFill="1" applyBorder="1" applyAlignment="1">
      <alignment horizontal="left"/>
    </xf>
    <xf numFmtId="0" fontId="0" fillId="0" borderId="14" xfId="0" applyBorder="1" applyAlignment="1">
      <alignment horizontal="left"/>
    </xf>
    <xf numFmtId="0" fontId="0" fillId="0" borderId="5" xfId="0" applyBorder="1" applyAlignment="1">
      <alignment horizontal="left"/>
    </xf>
    <xf numFmtId="0" fontId="3" fillId="0" borderId="27" xfId="0" applyFont="1" applyBorder="1" applyAlignment="1">
      <alignment horizontal="center"/>
    </xf>
    <xf numFmtId="0" fontId="3" fillId="0" borderId="15" xfId="0" applyFont="1" applyBorder="1" applyAlignment="1">
      <alignment horizontal="center"/>
    </xf>
    <xf numFmtId="0" fontId="3" fillId="0" borderId="29" xfId="0" applyFont="1" applyBorder="1" applyAlignment="1">
      <alignment horizontal="center"/>
    </xf>
    <xf numFmtId="0" fontId="3" fillId="0" borderId="24" xfId="0" applyFont="1" applyBorder="1" applyAlignment="1">
      <alignment horizontal="center"/>
    </xf>
    <xf numFmtId="0" fontId="0" fillId="0" borderId="27" xfId="0" applyBorder="1" applyAlignment="1">
      <alignment horizontal="left"/>
    </xf>
    <xf numFmtId="0" fontId="0" fillId="0" borderId="15" xfId="0" applyBorder="1" applyAlignment="1">
      <alignment horizontal="left"/>
    </xf>
    <xf numFmtId="0" fontId="3" fillId="0" borderId="18" xfId="0" applyFont="1" applyBorder="1" applyAlignment="1">
      <alignment horizontal="center" vertical="center"/>
    </xf>
    <xf numFmtId="0" fontId="3" fillId="0" borderId="15" xfId="0" applyFont="1" applyBorder="1" applyAlignment="1">
      <alignment horizontal="center" vertical="center"/>
    </xf>
    <xf numFmtId="49" fontId="4" fillId="2" borderId="16" xfId="0" applyNumberFormat="1" applyFont="1" applyFill="1" applyBorder="1" applyAlignment="1">
      <alignment horizontal="center" wrapText="1"/>
    </xf>
    <xf numFmtId="49" fontId="4" fillId="2" borderId="0" xfId="0" applyNumberFormat="1" applyFont="1" applyFill="1" applyBorder="1" applyAlignment="1">
      <alignment horizontal="center" wrapText="1"/>
    </xf>
    <xf numFmtId="0" fontId="13" fillId="2" borderId="29" xfId="0" applyFont="1" applyFill="1" applyBorder="1" applyAlignment="1">
      <alignment horizontal="left"/>
    </xf>
    <xf numFmtId="0" fontId="13" fillId="2" borderId="24" xfId="0" applyFont="1" applyFill="1" applyBorder="1" applyAlignment="1">
      <alignment horizontal="left"/>
    </xf>
    <xf numFmtId="0" fontId="3" fillId="0" borderId="5" xfId="0" applyFont="1" applyBorder="1" applyAlignment="1">
      <alignment horizontal="left"/>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cellXfs>
  <cellStyles count="7">
    <cellStyle name="Comma" xfId="1" builtinId="3"/>
    <cellStyle name="Comma 2" xfId="2"/>
    <cellStyle name="Comma 3" xfId="4"/>
    <cellStyle name="Normal" xfId="0" builtinId="0"/>
    <cellStyle name="Normal 5" xfId="6"/>
    <cellStyle name="Percent" xfId="3" builtinId="5"/>
    <cellStyle name="Percent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48"/>
  <sheetViews>
    <sheetView tabSelected="1" zoomScaleNormal="100" workbookViewId="0">
      <selection activeCell="K13" sqref="K13"/>
    </sheetView>
  </sheetViews>
  <sheetFormatPr defaultColWidth="9.140625" defaultRowHeight="15" x14ac:dyDescent="0.25"/>
  <cols>
    <col min="1" max="1" width="2.140625" style="200" customWidth="1"/>
    <col min="2" max="2" width="62.7109375" style="200" customWidth="1"/>
    <col min="3" max="4" width="12.7109375" style="108" customWidth="1"/>
    <col min="5" max="6" width="12.7109375" style="108" bestFit="1" customWidth="1"/>
    <col min="7" max="7" width="14.28515625" style="200" hidden="1" customWidth="1"/>
    <col min="8" max="8" width="15.28515625" style="200" hidden="1" customWidth="1"/>
    <col min="9" max="9" width="0" style="200" hidden="1" customWidth="1"/>
    <col min="10" max="10" width="10" style="200" bestFit="1" customWidth="1"/>
    <col min="11" max="16384" width="9.140625" style="200"/>
  </cols>
  <sheetData>
    <row r="1" spans="2:6" ht="15.75" x14ac:dyDescent="0.25">
      <c r="B1" s="302" t="s">
        <v>21</v>
      </c>
      <c r="C1" s="303"/>
      <c r="D1" s="303"/>
      <c r="E1" s="303"/>
      <c r="F1" s="304"/>
    </row>
    <row r="2" spans="2:6" ht="15.75" x14ac:dyDescent="0.25">
      <c r="B2" s="305" t="s">
        <v>0</v>
      </c>
      <c r="C2" s="306"/>
      <c r="D2" s="306"/>
      <c r="E2" s="306"/>
      <c r="F2" s="307"/>
    </row>
    <row r="3" spans="2:6" ht="15.75" x14ac:dyDescent="0.25">
      <c r="B3" s="311" t="s">
        <v>351</v>
      </c>
      <c r="C3" s="312"/>
      <c r="D3" s="312"/>
      <c r="E3" s="312"/>
      <c r="F3" s="313"/>
    </row>
    <row r="4" spans="2:6" ht="15.75" x14ac:dyDescent="0.25">
      <c r="B4" s="308"/>
      <c r="C4" s="309"/>
      <c r="D4" s="309"/>
      <c r="E4" s="309"/>
      <c r="F4" s="310"/>
    </row>
    <row r="5" spans="2:6" ht="15.75" x14ac:dyDescent="0.25">
      <c r="B5" s="201"/>
      <c r="C5" s="301" t="s">
        <v>16</v>
      </c>
      <c r="D5" s="301"/>
      <c r="E5" s="301" t="s">
        <v>25</v>
      </c>
      <c r="F5" s="301"/>
    </row>
    <row r="6" spans="2:6" ht="15.75" x14ac:dyDescent="0.25">
      <c r="B6" s="202" t="s">
        <v>178</v>
      </c>
      <c r="C6" s="203" t="s">
        <v>305</v>
      </c>
      <c r="D6" s="149" t="s">
        <v>307</v>
      </c>
      <c r="E6" s="203" t="s">
        <v>308</v>
      </c>
      <c r="F6" s="149" t="s">
        <v>307</v>
      </c>
    </row>
    <row r="7" spans="2:6" ht="15.75" x14ac:dyDescent="0.25">
      <c r="B7" s="202"/>
      <c r="C7" s="204" t="s">
        <v>306</v>
      </c>
      <c r="D7" s="150" t="s">
        <v>306</v>
      </c>
      <c r="E7" s="204" t="s">
        <v>306</v>
      </c>
      <c r="F7" s="150" t="s">
        <v>306</v>
      </c>
    </row>
    <row r="8" spans="2:6" ht="15.75" x14ac:dyDescent="0.25">
      <c r="B8" s="202"/>
      <c r="C8" s="205" t="s">
        <v>18</v>
      </c>
      <c r="D8" s="206" t="s">
        <v>18</v>
      </c>
      <c r="E8" s="205" t="s">
        <v>18</v>
      </c>
      <c r="F8" s="206" t="s">
        <v>18</v>
      </c>
    </row>
    <row r="9" spans="2:6" ht="15.75" x14ac:dyDescent="0.25">
      <c r="B9" s="207"/>
      <c r="C9" s="205" t="s">
        <v>356</v>
      </c>
      <c r="D9" s="205" t="s">
        <v>332</v>
      </c>
      <c r="E9" s="205" t="s">
        <v>356</v>
      </c>
      <c r="F9" s="205" t="s">
        <v>332</v>
      </c>
    </row>
    <row r="10" spans="2:6" ht="15.75" x14ac:dyDescent="0.25">
      <c r="B10" s="207"/>
      <c r="C10" s="205" t="s">
        <v>19</v>
      </c>
      <c r="D10" s="206" t="s">
        <v>19</v>
      </c>
      <c r="E10" s="205" t="s">
        <v>19</v>
      </c>
      <c r="F10" s="206" t="s">
        <v>19</v>
      </c>
    </row>
    <row r="11" spans="2:6" ht="15.75" x14ac:dyDescent="0.25">
      <c r="B11" s="207"/>
      <c r="C11" s="208" t="s">
        <v>352</v>
      </c>
      <c r="D11" s="208" t="s">
        <v>354</v>
      </c>
      <c r="E11" s="208" t="s">
        <v>352</v>
      </c>
      <c r="F11" s="208" t="s">
        <v>354</v>
      </c>
    </row>
    <row r="12" spans="2:6" ht="15.75" x14ac:dyDescent="0.25">
      <c r="B12" s="207"/>
      <c r="C12" s="175" t="s">
        <v>98</v>
      </c>
      <c r="D12" s="209" t="s">
        <v>98</v>
      </c>
      <c r="E12" s="209" t="s">
        <v>99</v>
      </c>
      <c r="F12" s="209" t="s">
        <v>99</v>
      </c>
    </row>
    <row r="13" spans="2:6" ht="15.75" x14ac:dyDescent="0.25">
      <c r="B13" s="98"/>
      <c r="C13" s="151"/>
      <c r="D13" s="151"/>
      <c r="E13" s="151"/>
      <c r="F13" s="151"/>
    </row>
    <row r="14" spans="2:6" ht="15.75" x14ac:dyDescent="0.25">
      <c r="B14" s="98" t="s">
        <v>1</v>
      </c>
      <c r="C14" s="74">
        <v>722.94259223499989</v>
      </c>
      <c r="D14" s="178">
        <v>568.73048186000005</v>
      </c>
      <c r="E14" s="74">
        <f>40631651632/1000000</f>
        <v>40631.651632000001</v>
      </c>
      <c r="F14" s="178">
        <v>43018.381965618697</v>
      </c>
    </row>
    <row r="15" spans="2:6" ht="15.75" x14ac:dyDescent="0.25">
      <c r="B15" s="98" t="s">
        <v>2</v>
      </c>
      <c r="C15" s="74">
        <v>73.204628929999998</v>
      </c>
      <c r="D15" s="178">
        <v>176.09662895400001</v>
      </c>
      <c r="E15" s="74">
        <f>25666109613/1000000</f>
        <v>25666.109613000001</v>
      </c>
      <c r="F15" s="178">
        <v>28895.158398172</v>
      </c>
    </row>
    <row r="16" spans="2:6" s="210" customFormat="1" ht="15.75" x14ac:dyDescent="0.25">
      <c r="B16" s="96" t="s">
        <v>3</v>
      </c>
      <c r="C16" s="99">
        <f>+C14-C15</f>
        <v>649.73796330499988</v>
      </c>
      <c r="D16" s="99">
        <v>392.63385290600002</v>
      </c>
      <c r="E16" s="99">
        <f>+E14-E15</f>
        <v>14965.542019</v>
      </c>
      <c r="F16" s="99">
        <f>+F14-F15</f>
        <v>14123.223567446697</v>
      </c>
    </row>
    <row r="17" spans="2:10" ht="15.75" x14ac:dyDescent="0.25">
      <c r="B17" s="98" t="s">
        <v>4</v>
      </c>
      <c r="C17" s="74">
        <v>43.83186311</v>
      </c>
      <c r="D17" s="178">
        <v>18.86978264</v>
      </c>
      <c r="E17" s="74">
        <f>2091100853/1000000</f>
        <v>2091.1008529999999</v>
      </c>
      <c r="F17" s="178">
        <f>1611.90950281315+46</f>
        <v>1657.9095028131501</v>
      </c>
      <c r="J17" s="197"/>
    </row>
    <row r="18" spans="2:10" ht="15.75" x14ac:dyDescent="0.25">
      <c r="B18" s="98" t="s">
        <v>5</v>
      </c>
      <c r="C18" s="74">
        <v>0</v>
      </c>
      <c r="D18" s="178">
        <v>0</v>
      </c>
      <c r="E18" s="74">
        <v>0</v>
      </c>
      <c r="F18" s="178">
        <v>0</v>
      </c>
    </row>
    <row r="19" spans="2:10" s="210" customFormat="1" ht="15.75" x14ac:dyDescent="0.25">
      <c r="B19" s="96" t="s">
        <v>6</v>
      </c>
      <c r="C19" s="99">
        <f>+C17-C18</f>
        <v>43.83186311</v>
      </c>
      <c r="D19" s="99">
        <v>18.86978264</v>
      </c>
      <c r="E19" s="99">
        <f>+E17-E18</f>
        <v>2091.1008529999999</v>
      </c>
      <c r="F19" s="99">
        <f>+F17-F18</f>
        <v>1657.9095028131501</v>
      </c>
    </row>
    <row r="20" spans="2:10" ht="15.75" x14ac:dyDescent="0.25">
      <c r="B20" s="98" t="s">
        <v>163</v>
      </c>
      <c r="C20" s="74">
        <v>4</v>
      </c>
      <c r="D20" s="178">
        <v>1</v>
      </c>
      <c r="E20" s="74">
        <f>0/1000000</f>
        <v>0</v>
      </c>
      <c r="F20" s="286">
        <v>0</v>
      </c>
    </row>
    <row r="21" spans="2:10" ht="15.75" x14ac:dyDescent="0.25">
      <c r="B21" s="98" t="s">
        <v>329</v>
      </c>
      <c r="C21" s="74"/>
      <c r="D21" s="178"/>
      <c r="E21" s="74"/>
      <c r="F21" s="178"/>
    </row>
    <row r="22" spans="2:10" ht="15.75" x14ac:dyDescent="0.25">
      <c r="B22" s="98" t="s">
        <v>164</v>
      </c>
      <c r="C22" s="74">
        <v>0</v>
      </c>
      <c r="D22" s="178">
        <v>0</v>
      </c>
      <c r="E22" s="74">
        <v>0</v>
      </c>
      <c r="F22" s="178">
        <v>0</v>
      </c>
    </row>
    <row r="23" spans="2:10" ht="15.75" x14ac:dyDescent="0.25">
      <c r="B23" s="98" t="s">
        <v>165</v>
      </c>
      <c r="C23" s="74">
        <v>0</v>
      </c>
      <c r="D23" s="178">
        <v>0</v>
      </c>
      <c r="E23" s="74">
        <v>0</v>
      </c>
      <c r="F23" s="178">
        <v>0</v>
      </c>
    </row>
    <row r="24" spans="2:10" ht="15.75" x14ac:dyDescent="0.25">
      <c r="B24" s="98" t="s">
        <v>166</v>
      </c>
      <c r="C24" s="74"/>
      <c r="D24" s="178"/>
      <c r="E24" s="74"/>
      <c r="F24" s="178"/>
    </row>
    <row r="25" spans="2:10" ht="15.75" x14ac:dyDescent="0.25">
      <c r="B25" s="98" t="s">
        <v>167</v>
      </c>
      <c r="C25" s="74"/>
      <c r="D25" s="178">
        <v>0</v>
      </c>
      <c r="E25" s="74">
        <v>0</v>
      </c>
      <c r="F25" s="178">
        <v>0</v>
      </c>
    </row>
    <row r="26" spans="2:10" ht="15.75" x14ac:dyDescent="0.25">
      <c r="B26" s="98" t="s">
        <v>168</v>
      </c>
      <c r="C26" s="74">
        <v>0</v>
      </c>
      <c r="D26" s="178">
        <v>0</v>
      </c>
      <c r="E26" s="74">
        <v>0</v>
      </c>
      <c r="F26" s="178">
        <v>0</v>
      </c>
    </row>
    <row r="27" spans="2:10" ht="15.75" x14ac:dyDescent="0.25">
      <c r="B27" s="98" t="s">
        <v>169</v>
      </c>
      <c r="C27" s="74">
        <v>0</v>
      </c>
      <c r="D27" s="178">
        <v>0</v>
      </c>
      <c r="E27" s="74">
        <v>0</v>
      </c>
      <c r="F27" s="178">
        <v>0</v>
      </c>
    </row>
    <row r="28" spans="2:10" ht="15.75" x14ac:dyDescent="0.25">
      <c r="B28" s="98" t="s">
        <v>170</v>
      </c>
      <c r="C28" s="74">
        <v>2.110088685</v>
      </c>
      <c r="D28" s="178">
        <v>0.03</v>
      </c>
      <c r="E28" s="74">
        <f>8827503949/1000000</f>
        <v>8827.5039489999999</v>
      </c>
      <c r="F28" s="178">
        <v>7659.7421410972302</v>
      </c>
    </row>
    <row r="29" spans="2:10" s="210" customFormat="1" ht="15.75" x14ac:dyDescent="0.25">
      <c r="B29" s="96" t="s">
        <v>7</v>
      </c>
      <c r="C29" s="99">
        <f>+C16+C19+C20+C22+C23+C25+C26+C27+C28</f>
        <v>699.6799150999999</v>
      </c>
      <c r="D29" s="99">
        <v>412.53363554599997</v>
      </c>
      <c r="E29" s="99">
        <f>+E16+E19+E20+E22+E23+E25+E26+E27+E28</f>
        <v>25884.146821000002</v>
      </c>
      <c r="F29" s="99">
        <f>+F16+F19+F20+F22+F23+F25+F26+F27+F28</f>
        <v>23440.875211357077</v>
      </c>
    </row>
    <row r="30" spans="2:10" ht="15.75" x14ac:dyDescent="0.25">
      <c r="B30" s="98" t="s">
        <v>171</v>
      </c>
      <c r="C30" s="74">
        <v>-108.24268999170779</v>
      </c>
      <c r="D30" s="178">
        <v>-101.33326881631059</v>
      </c>
      <c r="E30" s="74">
        <f>8679933813/1000000</f>
        <v>8679.9338129999996</v>
      </c>
      <c r="F30" s="178">
        <v>9695.1958446552289</v>
      </c>
    </row>
    <row r="31" spans="2:10" s="210" customFormat="1" ht="15.75" x14ac:dyDescent="0.25">
      <c r="B31" s="96" t="s">
        <v>8</v>
      </c>
      <c r="C31" s="99">
        <f>+C29-C30</f>
        <v>807.92260509170774</v>
      </c>
      <c r="D31" s="99">
        <v>513.86690436231061</v>
      </c>
      <c r="E31" s="99">
        <f>+E29-E30</f>
        <v>17204.213008000002</v>
      </c>
      <c r="F31" s="99">
        <f>+F29-F30</f>
        <v>13745.679366701848</v>
      </c>
    </row>
    <row r="32" spans="2:10" ht="15.75" x14ac:dyDescent="0.25">
      <c r="B32" s="98" t="s">
        <v>9</v>
      </c>
      <c r="C32" s="285">
        <v>12</v>
      </c>
      <c r="D32" s="178">
        <v>10.075889810000001</v>
      </c>
      <c r="E32" s="74">
        <f>+(9392749561+850200)/1000000</f>
        <v>9393.5997609999995</v>
      </c>
      <c r="F32" s="178">
        <v>8839.8203923990277</v>
      </c>
    </row>
    <row r="33" spans="2:9" ht="15.75" x14ac:dyDescent="0.25">
      <c r="B33" s="98" t="s">
        <v>172</v>
      </c>
      <c r="C33" s="74">
        <v>0.94225001999999991</v>
      </c>
      <c r="D33" s="178">
        <v>1.0628749800000001</v>
      </c>
      <c r="E33" s="74">
        <f>2681370973/1000000</f>
        <v>2681.370973</v>
      </c>
      <c r="F33" s="178">
        <v>2403.8141017248404</v>
      </c>
    </row>
    <row r="34" spans="2:9" ht="15.75" x14ac:dyDescent="0.25">
      <c r="B34" s="98" t="s">
        <v>10</v>
      </c>
      <c r="C34" s="74">
        <v>21</v>
      </c>
      <c r="D34" s="178">
        <v>19</v>
      </c>
      <c r="E34" s="74">
        <f>1790625679/1000000</f>
        <v>1790.625679</v>
      </c>
      <c r="F34" s="178">
        <v>1256.0237190395899</v>
      </c>
    </row>
    <row r="35" spans="2:9" s="210" customFormat="1" ht="15.75" x14ac:dyDescent="0.25">
      <c r="B35" s="96" t="s">
        <v>174</v>
      </c>
      <c r="C35" s="99">
        <f>+C31-C32-C33-C34</f>
        <v>773.98035507170778</v>
      </c>
      <c r="D35" s="99">
        <v>483.72813957231062</v>
      </c>
      <c r="E35" s="99">
        <f>+E31-E32-E33-E34</f>
        <v>3338.6165950000031</v>
      </c>
      <c r="F35" s="99">
        <f>+F31-F32-F33-F34</f>
        <v>1246.0211535383903</v>
      </c>
      <c r="G35" s="211">
        <v>0</v>
      </c>
      <c r="H35" s="211">
        <v>38837933</v>
      </c>
      <c r="I35" s="212" t="s">
        <v>310</v>
      </c>
    </row>
    <row r="36" spans="2:9" ht="15.75" x14ac:dyDescent="0.25">
      <c r="B36" s="98" t="s">
        <v>11</v>
      </c>
      <c r="C36" s="74">
        <v>94.443079999999995</v>
      </c>
      <c r="D36" s="178">
        <v>54.719008770000002</v>
      </c>
      <c r="E36" s="74">
        <v>0</v>
      </c>
      <c r="F36" s="178">
        <v>0</v>
      </c>
      <c r="G36" s="197">
        <v>72497085</v>
      </c>
      <c r="H36" s="197">
        <v>66963692</v>
      </c>
      <c r="I36" s="200" t="s">
        <v>311</v>
      </c>
    </row>
    <row r="37" spans="2:9" ht="15.75" x14ac:dyDescent="0.25">
      <c r="B37" s="98" t="s">
        <v>173</v>
      </c>
      <c r="C37" s="74">
        <v>0</v>
      </c>
      <c r="D37" s="178">
        <v>0</v>
      </c>
      <c r="E37" s="74">
        <v>0</v>
      </c>
      <c r="F37" s="178">
        <v>0</v>
      </c>
      <c r="G37" s="197">
        <v>9707232</v>
      </c>
      <c r="H37" s="197">
        <v>8887538</v>
      </c>
      <c r="I37" s="200" t="s">
        <v>312</v>
      </c>
    </row>
    <row r="38" spans="2:9" s="210" customFormat="1" ht="15.75" x14ac:dyDescent="0.25">
      <c r="B38" s="96" t="s">
        <v>175</v>
      </c>
      <c r="C38" s="99">
        <f>+C35-C36-C37</f>
        <v>679.53727507170777</v>
      </c>
      <c r="D38" s="99">
        <v>429.00913080231061</v>
      </c>
      <c r="E38" s="99">
        <f>+E35-E36-E37</f>
        <v>3338.6165950000031</v>
      </c>
      <c r="F38" s="99">
        <v>1246.3108668598659</v>
      </c>
      <c r="G38" s="213"/>
      <c r="H38" s="213">
        <f>SUM(G35:H37)</f>
        <v>196893480</v>
      </c>
    </row>
    <row r="39" spans="2:9" ht="15.75" x14ac:dyDescent="0.25">
      <c r="B39" s="98" t="s">
        <v>184</v>
      </c>
      <c r="C39" s="74">
        <v>0</v>
      </c>
      <c r="D39" s="178">
        <v>0</v>
      </c>
      <c r="E39" s="109">
        <v>0</v>
      </c>
      <c r="F39" s="176">
        <v>0</v>
      </c>
    </row>
    <row r="40" spans="2:9" s="210" customFormat="1" ht="15.75" x14ac:dyDescent="0.25">
      <c r="B40" s="96" t="s">
        <v>12</v>
      </c>
      <c r="C40" s="99">
        <f>+C38+C39</f>
        <v>679.53727507170777</v>
      </c>
      <c r="D40" s="99">
        <v>429.00913080231061</v>
      </c>
      <c r="E40" s="99">
        <f>+E38+E39</f>
        <v>3338.6165950000031</v>
      </c>
      <c r="F40" s="99">
        <v>1246.3108668598659</v>
      </c>
    </row>
    <row r="41" spans="2:9" ht="15.75" x14ac:dyDescent="0.25">
      <c r="B41" s="98" t="s">
        <v>176</v>
      </c>
      <c r="C41" s="74">
        <v>149.800702</v>
      </c>
      <c r="D41" s="74">
        <v>72</v>
      </c>
      <c r="E41" s="74">
        <f>72210565/1000000</f>
        <v>72.210565000000003</v>
      </c>
      <c r="F41" s="178">
        <v>39.387300000000003</v>
      </c>
    </row>
    <row r="42" spans="2:9" s="210" customFormat="1" ht="15.75" x14ac:dyDescent="0.25">
      <c r="B42" s="96" t="s">
        <v>13</v>
      </c>
      <c r="C42" s="99">
        <f>+C40-C41</f>
        <v>529.73657307170777</v>
      </c>
      <c r="D42" s="99">
        <v>357.00913080231061</v>
      </c>
      <c r="E42" s="99">
        <f>+E40-E41</f>
        <v>3266.4060300000033</v>
      </c>
      <c r="F42" s="99">
        <v>1206.9235668598658</v>
      </c>
    </row>
    <row r="43" spans="2:9" s="210" customFormat="1" ht="15.75" x14ac:dyDescent="0.25">
      <c r="B43" s="96" t="s">
        <v>14</v>
      </c>
      <c r="C43" s="99"/>
      <c r="D43" s="214"/>
      <c r="E43" s="99"/>
      <c r="F43" s="214"/>
    </row>
    <row r="44" spans="2:9" ht="15.75" x14ac:dyDescent="0.25">
      <c r="B44" s="98" t="s">
        <v>115</v>
      </c>
      <c r="C44" s="74">
        <f>+C42</f>
        <v>529.73657307170777</v>
      </c>
      <c r="D44" s="178">
        <v>357.00913080231061</v>
      </c>
      <c r="E44" s="74">
        <f>+E42</f>
        <v>3266.4060300000033</v>
      </c>
      <c r="F44" s="74">
        <f>+F42</f>
        <v>1206.9235668598658</v>
      </c>
    </row>
    <row r="45" spans="2:9" ht="15.75" x14ac:dyDescent="0.25">
      <c r="B45" s="98" t="s">
        <v>177</v>
      </c>
      <c r="C45" s="74"/>
      <c r="D45" s="178"/>
      <c r="E45" s="74"/>
      <c r="F45" s="178"/>
    </row>
    <row r="46" spans="2:9" s="210" customFormat="1" ht="15.75" x14ac:dyDescent="0.25">
      <c r="B46" s="96" t="s">
        <v>114</v>
      </c>
      <c r="C46" s="99"/>
      <c r="D46" s="214"/>
      <c r="E46" s="99"/>
      <c r="F46" s="214"/>
    </row>
    <row r="47" spans="2:9" ht="15.75" x14ac:dyDescent="0.25">
      <c r="B47" s="98" t="s">
        <v>15</v>
      </c>
      <c r="C47" s="74"/>
      <c r="D47" s="178"/>
      <c r="E47" s="191"/>
      <c r="F47" s="287"/>
    </row>
    <row r="48" spans="2:9" ht="15.75" x14ac:dyDescent="0.25">
      <c r="B48" s="98" t="s">
        <v>117</v>
      </c>
      <c r="C48" s="74"/>
      <c r="D48" s="178"/>
      <c r="E48" s="191"/>
      <c r="F48" s="287"/>
    </row>
  </sheetData>
  <mergeCells count="6">
    <mergeCell ref="C5:D5"/>
    <mergeCell ref="E5:F5"/>
    <mergeCell ref="B1:F1"/>
    <mergeCell ref="B2:F2"/>
    <mergeCell ref="B4:F4"/>
    <mergeCell ref="B3:F3"/>
  </mergeCells>
  <phoneticPr fontId="0" type="noConversion"/>
  <pageMargins left="0.59055118110236204" right="0.43307086614173201" top="0.74803149606299202" bottom="0.74803149606299202" header="0.35433070866141703" footer="0.31496062992126"/>
  <pageSetup paperSize="9" scale="75" fitToHeight="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1"/>
  <sheetViews>
    <sheetView zoomScaleNormal="100" workbookViewId="0">
      <selection activeCell="D39" sqref="D39"/>
    </sheetView>
  </sheetViews>
  <sheetFormatPr defaultColWidth="9.140625" defaultRowHeight="15" x14ac:dyDescent="0.25"/>
  <cols>
    <col min="1" max="1" width="59.28515625" style="200" customWidth="1"/>
    <col min="2" max="3" width="12" style="108" customWidth="1"/>
    <col min="4" max="5" width="12.7109375" style="108" bestFit="1" customWidth="1"/>
    <col min="6" max="16384" width="9.140625" style="200"/>
  </cols>
  <sheetData>
    <row r="1" spans="1:5" ht="15.75" x14ac:dyDescent="0.25">
      <c r="A1" s="302" t="s">
        <v>21</v>
      </c>
      <c r="B1" s="303"/>
      <c r="C1" s="303"/>
      <c r="D1" s="303"/>
      <c r="E1" s="304"/>
    </row>
    <row r="2" spans="1:5" ht="15.75" x14ac:dyDescent="0.25">
      <c r="A2" s="305" t="s">
        <v>22</v>
      </c>
      <c r="B2" s="306"/>
      <c r="C2" s="306"/>
      <c r="D2" s="306"/>
      <c r="E2" s="307"/>
    </row>
    <row r="3" spans="1:5" ht="15.75" x14ac:dyDescent="0.25">
      <c r="A3" s="311" t="s">
        <v>351</v>
      </c>
      <c r="B3" s="312"/>
      <c r="C3" s="312"/>
      <c r="D3" s="312"/>
      <c r="E3" s="313"/>
    </row>
    <row r="4" spans="1:5" ht="15.75" x14ac:dyDescent="0.25">
      <c r="A4" s="215"/>
      <c r="B4" s="216"/>
      <c r="C4" s="216"/>
      <c r="D4" s="216"/>
      <c r="E4" s="217"/>
    </row>
    <row r="5" spans="1:5" ht="15.75" x14ac:dyDescent="0.25">
      <c r="A5" s="201"/>
      <c r="B5" s="314" t="s">
        <v>16</v>
      </c>
      <c r="C5" s="315"/>
      <c r="D5" s="316" t="s">
        <v>25</v>
      </c>
      <c r="E5" s="315"/>
    </row>
    <row r="6" spans="1:5" ht="31.5" x14ac:dyDescent="0.25">
      <c r="A6" s="202" t="s">
        <v>178</v>
      </c>
      <c r="B6" s="203" t="s">
        <v>116</v>
      </c>
      <c r="C6" s="149" t="s">
        <v>156</v>
      </c>
      <c r="D6" s="203" t="s">
        <v>116</v>
      </c>
      <c r="E6" s="149" t="s">
        <v>156</v>
      </c>
    </row>
    <row r="7" spans="1:5" ht="15.75" x14ac:dyDescent="0.25">
      <c r="A7" s="202"/>
      <c r="B7" s="205" t="s">
        <v>18</v>
      </c>
      <c r="C7" s="206" t="s">
        <v>18</v>
      </c>
      <c r="D7" s="205" t="s">
        <v>18</v>
      </c>
      <c r="E7" s="206" t="s">
        <v>18</v>
      </c>
    </row>
    <row r="8" spans="1:5" ht="15.75" x14ac:dyDescent="0.25">
      <c r="A8" s="207"/>
      <c r="B8" s="205" t="s">
        <v>356</v>
      </c>
      <c r="C8" s="205" t="s">
        <v>332</v>
      </c>
      <c r="D8" s="205" t="s">
        <v>356</v>
      </c>
      <c r="E8" s="205" t="s">
        <v>332</v>
      </c>
    </row>
    <row r="9" spans="1:5" ht="15.75" x14ac:dyDescent="0.25">
      <c r="A9" s="207"/>
      <c r="B9" s="205" t="s">
        <v>19</v>
      </c>
      <c r="C9" s="206" t="s">
        <v>19</v>
      </c>
      <c r="D9" s="205" t="s">
        <v>19</v>
      </c>
      <c r="E9" s="206" t="s">
        <v>19</v>
      </c>
    </row>
    <row r="10" spans="1:5" ht="15.75" x14ac:dyDescent="0.25">
      <c r="A10" s="207"/>
      <c r="B10" s="208" t="s">
        <v>352</v>
      </c>
      <c r="C10" s="208" t="s">
        <v>354</v>
      </c>
      <c r="D10" s="208" t="s">
        <v>352</v>
      </c>
      <c r="E10" s="208" t="s">
        <v>354</v>
      </c>
    </row>
    <row r="11" spans="1:5" ht="15.75" x14ac:dyDescent="0.25">
      <c r="A11" s="143"/>
      <c r="B11" s="175" t="s">
        <v>98</v>
      </c>
      <c r="C11" s="209" t="s">
        <v>98</v>
      </c>
      <c r="D11" s="209" t="s">
        <v>99</v>
      </c>
      <c r="E11" s="209" t="s">
        <v>99</v>
      </c>
    </row>
    <row r="12" spans="1:5" s="210" customFormat="1" ht="15.75" x14ac:dyDescent="0.25">
      <c r="A12" s="96" t="s">
        <v>23</v>
      </c>
      <c r="B12" s="99">
        <f>+'INCOME-I'!C42</f>
        <v>529.73657307170777</v>
      </c>
      <c r="C12" s="99">
        <f>+'INCOME-I'!D42</f>
        <v>357.00913080231061</v>
      </c>
      <c r="D12" s="99">
        <f>+'INCOME-I'!E42</f>
        <v>3266.4060300000033</v>
      </c>
      <c r="E12" s="99">
        <f>+'INCOME-I'!F42</f>
        <v>1206.9235668598658</v>
      </c>
    </row>
    <row r="13" spans="1:5" ht="15.75" x14ac:dyDescent="0.25">
      <c r="A13" s="98"/>
      <c r="B13" s="74"/>
      <c r="C13" s="74"/>
      <c r="D13" s="74"/>
      <c r="E13" s="74"/>
    </row>
    <row r="14" spans="1:5" s="210" customFormat="1" ht="15.75" x14ac:dyDescent="0.25">
      <c r="A14" s="96" t="s">
        <v>179</v>
      </c>
      <c r="B14" s="99"/>
      <c r="C14" s="99"/>
      <c r="D14" s="99"/>
      <c r="E14" s="99"/>
    </row>
    <row r="15" spans="1:5" s="210" customFormat="1" ht="15.75" x14ac:dyDescent="0.25">
      <c r="A15" s="98" t="s">
        <v>180</v>
      </c>
      <c r="B15" s="74">
        <v>0</v>
      </c>
      <c r="C15" s="74">
        <v>0</v>
      </c>
      <c r="D15" s="74">
        <v>0</v>
      </c>
      <c r="E15" s="74">
        <v>0</v>
      </c>
    </row>
    <row r="16" spans="1:5" s="210" customFormat="1" ht="15.75" x14ac:dyDescent="0.25">
      <c r="A16" s="98" t="s">
        <v>181</v>
      </c>
      <c r="B16" s="74">
        <v>0</v>
      </c>
      <c r="C16" s="74">
        <v>0</v>
      </c>
      <c r="D16" s="74">
        <v>0</v>
      </c>
      <c r="E16" s="74">
        <v>0</v>
      </c>
    </row>
    <row r="17" spans="1:8" s="210" customFormat="1" ht="15.75" x14ac:dyDescent="0.25">
      <c r="A17" s="201" t="s">
        <v>182</v>
      </c>
      <c r="B17" s="317">
        <v>0</v>
      </c>
      <c r="C17" s="317">
        <v>0</v>
      </c>
      <c r="D17" s="317">
        <v>0</v>
      </c>
      <c r="E17" s="317">
        <v>0</v>
      </c>
    </row>
    <row r="18" spans="1:8" s="210" customFormat="1" ht="15.75" x14ac:dyDescent="0.25">
      <c r="A18" s="143" t="s">
        <v>183</v>
      </c>
      <c r="B18" s="318"/>
      <c r="C18" s="318"/>
      <c r="D18" s="318"/>
      <c r="E18" s="318"/>
      <c r="H18" s="218"/>
    </row>
    <row r="19" spans="1:8" ht="15.75" x14ac:dyDescent="0.25">
      <c r="A19" s="98" t="s">
        <v>184</v>
      </c>
      <c r="B19" s="74">
        <v>0</v>
      </c>
      <c r="C19" s="74">
        <v>0</v>
      </c>
      <c r="D19" s="74">
        <v>0</v>
      </c>
      <c r="E19" s="74">
        <v>0</v>
      </c>
    </row>
    <row r="20" spans="1:8" ht="15.75" x14ac:dyDescent="0.25">
      <c r="A20" s="98" t="s">
        <v>185</v>
      </c>
      <c r="B20" s="74">
        <v>0</v>
      </c>
      <c r="C20" s="74">
        <v>0</v>
      </c>
      <c r="D20" s="74">
        <v>0</v>
      </c>
      <c r="E20" s="74">
        <v>0</v>
      </c>
    </row>
    <row r="21" spans="1:8" ht="15.75" x14ac:dyDescent="0.25">
      <c r="A21" s="98" t="s">
        <v>186</v>
      </c>
      <c r="B21" s="74">
        <v>0</v>
      </c>
      <c r="C21" s="74">
        <v>0</v>
      </c>
      <c r="D21" s="74">
        <v>0</v>
      </c>
      <c r="E21" s="74">
        <v>0</v>
      </c>
    </row>
    <row r="22" spans="1:8" ht="15.75" x14ac:dyDescent="0.25">
      <c r="A22" s="201" t="s">
        <v>187</v>
      </c>
      <c r="B22" s="317">
        <v>0</v>
      </c>
      <c r="C22" s="317">
        <v>0</v>
      </c>
      <c r="D22" s="317">
        <v>0</v>
      </c>
      <c r="E22" s="317">
        <v>0</v>
      </c>
    </row>
    <row r="23" spans="1:8" ht="15.75" x14ac:dyDescent="0.25">
      <c r="A23" s="143" t="s">
        <v>188</v>
      </c>
      <c r="B23" s="318"/>
      <c r="C23" s="318"/>
      <c r="D23" s="318"/>
      <c r="E23" s="318"/>
      <c r="H23" s="219"/>
    </row>
    <row r="24" spans="1:8" ht="15.75" x14ac:dyDescent="0.25">
      <c r="A24" s="143"/>
      <c r="B24" s="115"/>
      <c r="C24" s="115"/>
      <c r="D24" s="115"/>
      <c r="E24" s="115"/>
      <c r="H24" s="219"/>
    </row>
    <row r="25" spans="1:8" ht="15.75" x14ac:dyDescent="0.25">
      <c r="A25" s="96" t="s">
        <v>189</v>
      </c>
      <c r="B25" s="115"/>
      <c r="C25" s="115"/>
      <c r="D25" s="115"/>
      <c r="E25" s="115"/>
      <c r="H25" s="219"/>
    </row>
    <row r="26" spans="1:8" ht="15.75" x14ac:dyDescent="0.25">
      <c r="A26" s="207" t="s">
        <v>190</v>
      </c>
      <c r="B26" s="317">
        <v>0</v>
      </c>
      <c r="C26" s="317">
        <v>0</v>
      </c>
      <c r="D26" s="317">
        <v>0</v>
      </c>
      <c r="E26" s="317">
        <v>0</v>
      </c>
      <c r="H26" s="219"/>
    </row>
    <row r="27" spans="1:8" ht="15.75" x14ac:dyDescent="0.25">
      <c r="A27" s="143" t="s">
        <v>191</v>
      </c>
      <c r="B27" s="318"/>
      <c r="C27" s="318"/>
      <c r="D27" s="318"/>
      <c r="E27" s="318"/>
      <c r="G27" s="219"/>
      <c r="H27" s="219"/>
    </row>
    <row r="28" spans="1:8" ht="15.75" x14ac:dyDescent="0.25">
      <c r="A28" s="207" t="s">
        <v>192</v>
      </c>
      <c r="B28" s="317">
        <v>0</v>
      </c>
      <c r="C28" s="317">
        <v>0</v>
      </c>
      <c r="D28" s="317">
        <v>0</v>
      </c>
      <c r="E28" s="317">
        <v>0</v>
      </c>
      <c r="H28" s="219"/>
    </row>
    <row r="29" spans="1:8" ht="15.75" x14ac:dyDescent="0.25">
      <c r="A29" s="207" t="s">
        <v>193</v>
      </c>
      <c r="B29" s="319"/>
      <c r="C29" s="319"/>
      <c r="D29" s="319"/>
      <c r="E29" s="319"/>
      <c r="H29" s="219"/>
    </row>
    <row r="30" spans="1:8" ht="15.75" x14ac:dyDescent="0.25">
      <c r="A30" s="143" t="s">
        <v>30</v>
      </c>
      <c r="B30" s="318"/>
      <c r="C30" s="318"/>
      <c r="D30" s="318"/>
      <c r="E30" s="318"/>
      <c r="H30" s="219"/>
    </row>
    <row r="31" spans="1:8" ht="15.75" x14ac:dyDescent="0.25">
      <c r="A31" s="143" t="s">
        <v>194</v>
      </c>
      <c r="B31" s="115">
        <v>0</v>
      </c>
      <c r="C31" s="115">
        <v>0</v>
      </c>
      <c r="D31" s="115">
        <v>0</v>
      </c>
      <c r="E31" s="115">
        <v>0</v>
      </c>
      <c r="H31" s="219"/>
    </row>
    <row r="32" spans="1:8" ht="15.75" x14ac:dyDescent="0.25">
      <c r="A32" s="143" t="s">
        <v>24</v>
      </c>
      <c r="B32" s="115">
        <v>0</v>
      </c>
      <c r="C32" s="115">
        <v>0</v>
      </c>
      <c r="D32" s="115">
        <v>0</v>
      </c>
      <c r="E32" s="115">
        <v>0</v>
      </c>
      <c r="H32" s="219"/>
    </row>
    <row r="33" spans="1:8" ht="15.75" x14ac:dyDescent="0.25">
      <c r="A33" s="143" t="s">
        <v>184</v>
      </c>
      <c r="B33" s="115">
        <v>0</v>
      </c>
      <c r="C33" s="115">
        <v>0</v>
      </c>
      <c r="D33" s="115">
        <v>0</v>
      </c>
      <c r="E33" s="115">
        <v>0</v>
      </c>
      <c r="H33" s="219"/>
    </row>
    <row r="34" spans="1:8" ht="15.75" x14ac:dyDescent="0.25">
      <c r="A34" s="143" t="s">
        <v>304</v>
      </c>
      <c r="B34" s="115">
        <v>9</v>
      </c>
      <c r="C34" s="220">
        <v>-45.6932023359998</v>
      </c>
      <c r="D34" s="115"/>
      <c r="E34" s="115"/>
      <c r="H34" s="219"/>
    </row>
    <row r="35" spans="1:8" ht="15.75" x14ac:dyDescent="0.25">
      <c r="A35" s="201" t="s">
        <v>196</v>
      </c>
      <c r="B35" s="317">
        <v>0</v>
      </c>
      <c r="C35" s="317">
        <v>0</v>
      </c>
      <c r="D35" s="317">
        <v>0</v>
      </c>
      <c r="E35" s="317">
        <v>0</v>
      </c>
      <c r="F35" s="221"/>
      <c r="H35" s="219"/>
    </row>
    <row r="36" spans="1:8" ht="15.75" x14ac:dyDescent="0.25">
      <c r="A36" s="143" t="s">
        <v>195</v>
      </c>
      <c r="B36" s="318"/>
      <c r="C36" s="318"/>
      <c r="D36" s="318"/>
      <c r="E36" s="318"/>
      <c r="H36" s="219"/>
    </row>
    <row r="37" spans="1:8" s="210" customFormat="1" ht="15.75" x14ac:dyDescent="0.25">
      <c r="A37" s="96" t="s">
        <v>197</v>
      </c>
      <c r="B37" s="99">
        <f>SUM(B19:B36)</f>
        <v>9</v>
      </c>
      <c r="C37" s="99">
        <v>-45.6932023359998</v>
      </c>
      <c r="D37" s="99">
        <f>+D20</f>
        <v>0</v>
      </c>
      <c r="E37" s="99">
        <f>+E20</f>
        <v>0</v>
      </c>
    </row>
    <row r="38" spans="1:8" s="210" customFormat="1" ht="15.75" x14ac:dyDescent="0.25">
      <c r="A38" s="96"/>
      <c r="B38" s="99"/>
      <c r="C38" s="99"/>
      <c r="D38" s="99"/>
      <c r="E38" s="99"/>
    </row>
    <row r="39" spans="1:8" ht="15.75" x14ac:dyDescent="0.25">
      <c r="A39" s="96" t="s">
        <v>330</v>
      </c>
      <c r="B39" s="99">
        <f>+B37+B12</f>
        <v>538.73657307170777</v>
      </c>
      <c r="C39" s="99">
        <v>311.31592846631082</v>
      </c>
      <c r="D39" s="99">
        <f>+D37+D12</f>
        <v>3266.4060300000033</v>
      </c>
      <c r="E39" s="99">
        <v>1206.9235668598658</v>
      </c>
    </row>
    <row r="40" spans="1:8" ht="15.75" x14ac:dyDescent="0.25">
      <c r="A40" s="98" t="s">
        <v>198</v>
      </c>
      <c r="B40" s="74">
        <f>+B39</f>
        <v>538.73657307170777</v>
      </c>
      <c r="C40" s="74">
        <v>311.31592846631082</v>
      </c>
      <c r="D40" s="74">
        <f>+D39</f>
        <v>3266.4060300000033</v>
      </c>
      <c r="E40" s="74">
        <v>1206.9235668598658</v>
      </c>
    </row>
    <row r="41" spans="1:8" ht="15.75" x14ac:dyDescent="0.25">
      <c r="A41" s="98" t="s">
        <v>177</v>
      </c>
      <c r="B41" s="74">
        <v>0</v>
      </c>
      <c r="C41" s="74">
        <v>0</v>
      </c>
      <c r="D41" s="74">
        <v>0</v>
      </c>
      <c r="E41" s="74">
        <v>0</v>
      </c>
    </row>
  </sheetData>
  <mergeCells count="25">
    <mergeCell ref="B35:B36"/>
    <mergeCell ref="C35:C36"/>
    <mergeCell ref="D35:D36"/>
    <mergeCell ref="E35:E36"/>
    <mergeCell ref="B26:B27"/>
    <mergeCell ref="C26:C27"/>
    <mergeCell ref="D26:D27"/>
    <mergeCell ref="E26:E27"/>
    <mergeCell ref="B28:B30"/>
    <mergeCell ref="C28:C30"/>
    <mergeCell ref="D28:D30"/>
    <mergeCell ref="E28:E30"/>
    <mergeCell ref="B17:B18"/>
    <mergeCell ref="C17:C18"/>
    <mergeCell ref="D17:D18"/>
    <mergeCell ref="E17:E18"/>
    <mergeCell ref="B22:B23"/>
    <mergeCell ref="C22:C23"/>
    <mergeCell ref="D22:D23"/>
    <mergeCell ref="E22:E23"/>
    <mergeCell ref="B5:C5"/>
    <mergeCell ref="D5:E5"/>
    <mergeCell ref="A1:E1"/>
    <mergeCell ref="A2:E2"/>
    <mergeCell ref="A3:E3"/>
  </mergeCells>
  <phoneticPr fontId="0" type="noConversion"/>
  <pageMargins left="0.44" right="0.17" top="0.74803149606299213" bottom="0.74803149606299213" header="0.31496062992125984" footer="0.31496062992125984"/>
  <pageSetup paperSize="9" scale="89" fitToHeight="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zoomScaleNormal="100" workbookViewId="0">
      <selection activeCell="I18" sqref="I18"/>
    </sheetView>
  </sheetViews>
  <sheetFormatPr defaultColWidth="9.140625" defaultRowHeight="15" x14ac:dyDescent="0.25"/>
  <cols>
    <col min="1" max="1" width="48.85546875" style="200" customWidth="1"/>
    <col min="2" max="2" width="11.28515625" style="229" customWidth="1"/>
    <col min="3" max="3" width="12.7109375" style="108" customWidth="1"/>
    <col min="4" max="4" width="13" style="229" customWidth="1"/>
    <col min="5" max="5" width="12.85546875" style="229" customWidth="1"/>
    <col min="6" max="6" width="13.7109375" style="200" bestFit="1" customWidth="1"/>
    <col min="7" max="7" width="9.140625" style="200"/>
    <col min="8" max="8" width="14.28515625" style="200" bestFit="1" customWidth="1"/>
    <col min="9" max="9" width="16" style="200" bestFit="1" customWidth="1"/>
    <col min="10" max="16384" width="9.140625" style="200"/>
  </cols>
  <sheetData>
    <row r="1" spans="1:5" ht="15.75" x14ac:dyDescent="0.25">
      <c r="A1" s="302" t="s">
        <v>21</v>
      </c>
      <c r="B1" s="303"/>
      <c r="C1" s="303"/>
      <c r="D1" s="303"/>
      <c r="E1" s="304"/>
    </row>
    <row r="2" spans="1:5" ht="15.75" x14ac:dyDescent="0.25">
      <c r="A2" s="305" t="s">
        <v>111</v>
      </c>
      <c r="B2" s="306"/>
      <c r="C2" s="306"/>
      <c r="D2" s="306"/>
      <c r="E2" s="307"/>
    </row>
    <row r="3" spans="1:5" ht="15.75" x14ac:dyDescent="0.25">
      <c r="A3" s="305" t="s">
        <v>353</v>
      </c>
      <c r="B3" s="306"/>
      <c r="C3" s="306"/>
      <c r="D3" s="306"/>
      <c r="E3" s="307"/>
    </row>
    <row r="4" spans="1:5" ht="15.75" x14ac:dyDescent="0.25">
      <c r="A4" s="308"/>
      <c r="B4" s="309"/>
      <c r="C4" s="309"/>
      <c r="D4" s="309"/>
      <c r="E4" s="310"/>
    </row>
    <row r="5" spans="1:5" ht="15.75" x14ac:dyDescent="0.25">
      <c r="A5" s="201"/>
      <c r="B5" s="322" t="s">
        <v>16</v>
      </c>
      <c r="C5" s="323"/>
      <c r="D5" s="322" t="s">
        <v>25</v>
      </c>
      <c r="E5" s="323"/>
    </row>
    <row r="6" spans="1:5" ht="15.75" x14ac:dyDescent="0.25">
      <c r="A6" s="202" t="s">
        <v>178</v>
      </c>
      <c r="B6" s="203" t="s">
        <v>305</v>
      </c>
      <c r="C6" s="203" t="s">
        <v>307</v>
      </c>
      <c r="D6" s="203" t="s">
        <v>308</v>
      </c>
      <c r="E6" s="149" t="s">
        <v>307</v>
      </c>
    </row>
    <row r="7" spans="1:5" ht="15.75" x14ac:dyDescent="0.25">
      <c r="A7" s="202"/>
      <c r="B7" s="204" t="s">
        <v>306</v>
      </c>
      <c r="C7" s="204" t="s">
        <v>306</v>
      </c>
      <c r="D7" s="204" t="s">
        <v>306</v>
      </c>
      <c r="E7" s="150" t="s">
        <v>306</v>
      </c>
    </row>
    <row r="8" spans="1:5" ht="15.75" x14ac:dyDescent="0.25">
      <c r="A8" s="202"/>
      <c r="B8" s="153" t="s">
        <v>97</v>
      </c>
      <c r="C8" s="205" t="s">
        <v>97</v>
      </c>
      <c r="D8" s="153" t="s">
        <v>97</v>
      </c>
      <c r="E8" s="153" t="s">
        <v>97</v>
      </c>
    </row>
    <row r="9" spans="1:5" ht="15.75" x14ac:dyDescent="0.25">
      <c r="A9" s="207"/>
      <c r="B9" s="208" t="s">
        <v>352</v>
      </c>
      <c r="C9" s="208" t="s">
        <v>343</v>
      </c>
      <c r="D9" s="208" t="s">
        <v>352</v>
      </c>
      <c r="E9" s="208" t="s">
        <v>343</v>
      </c>
    </row>
    <row r="10" spans="1:5" ht="15.75" x14ac:dyDescent="0.25">
      <c r="A10" s="143"/>
      <c r="B10" s="151" t="s">
        <v>98</v>
      </c>
      <c r="C10" s="175" t="s">
        <v>98</v>
      </c>
      <c r="D10" s="151" t="s">
        <v>99</v>
      </c>
      <c r="E10" s="151" t="s">
        <v>99</v>
      </c>
    </row>
    <row r="11" spans="1:5" ht="15.75" x14ac:dyDescent="0.25">
      <c r="A11" s="143"/>
      <c r="B11" s="175"/>
      <c r="C11" s="175" t="s">
        <v>124</v>
      </c>
      <c r="D11" s="175"/>
      <c r="E11" s="151" t="s">
        <v>124</v>
      </c>
    </row>
    <row r="12" spans="1:5" ht="15.75" x14ac:dyDescent="0.25">
      <c r="A12" s="96" t="s">
        <v>26</v>
      </c>
      <c r="B12" s="154"/>
      <c r="C12" s="74"/>
      <c r="D12" s="154"/>
      <c r="E12" s="154"/>
    </row>
    <row r="13" spans="1:5" ht="15.75" x14ac:dyDescent="0.25">
      <c r="A13" s="98" t="s">
        <v>118</v>
      </c>
      <c r="B13" s="288">
        <f>54098.56105/1000+19284.54/1000+1868.644/1000+54250.286/1000+25000000000/1000000-2659348.89091957/1000000</f>
        <v>25126.84268215908</v>
      </c>
      <c r="C13" s="74">
        <v>2859</v>
      </c>
      <c r="D13" s="74">
        <f>109967776078/1000000</f>
        <v>109967.776078</v>
      </c>
      <c r="E13" s="74">
        <v>124208.166264</v>
      </c>
    </row>
    <row r="14" spans="1:5" ht="15.75" x14ac:dyDescent="0.25">
      <c r="A14" s="98" t="s">
        <v>27</v>
      </c>
      <c r="B14" s="178">
        <v>25</v>
      </c>
      <c r="C14" s="74">
        <v>113</v>
      </c>
      <c r="D14" s="74">
        <f>2274786207/1000000</f>
        <v>2274.7862070000001</v>
      </c>
      <c r="E14" s="74">
        <v>2059.2428989999999</v>
      </c>
    </row>
    <row r="15" spans="1:5" ht="15.75" x14ac:dyDescent="0.25">
      <c r="A15" s="98" t="s">
        <v>28</v>
      </c>
      <c r="B15" s="178">
        <v>0</v>
      </c>
      <c r="C15" s="74">
        <v>0</v>
      </c>
      <c r="D15" s="74">
        <f>216091855755/1000000</f>
        <v>216091.855755</v>
      </c>
      <c r="E15" s="74">
        <v>183555.20297099999</v>
      </c>
    </row>
    <row r="16" spans="1:5" ht="15.75" x14ac:dyDescent="0.25">
      <c r="A16" s="98" t="s">
        <v>29</v>
      </c>
      <c r="B16" s="178">
        <v>0</v>
      </c>
      <c r="C16" s="74">
        <v>0</v>
      </c>
      <c r="D16" s="74">
        <v>0</v>
      </c>
      <c r="E16" s="74">
        <v>0</v>
      </c>
    </row>
    <row r="17" spans="1:9" ht="15.75" x14ac:dyDescent="0.25">
      <c r="A17" s="98" t="s">
        <v>199</v>
      </c>
      <c r="B17" s="178"/>
      <c r="C17" s="74"/>
      <c r="D17" s="74"/>
      <c r="E17" s="74"/>
    </row>
    <row r="18" spans="1:9" ht="15.75" x14ac:dyDescent="0.25">
      <c r="A18" s="98" t="s">
        <v>200</v>
      </c>
      <c r="B18" s="178">
        <v>0</v>
      </c>
      <c r="C18" s="74">
        <v>0</v>
      </c>
      <c r="D18" s="74">
        <v>0</v>
      </c>
      <c r="E18" s="74">
        <v>0</v>
      </c>
    </row>
    <row r="19" spans="1:9" ht="15.75" x14ac:dyDescent="0.25">
      <c r="A19" s="98" t="s">
        <v>201</v>
      </c>
      <c r="B19" s="178">
        <v>0</v>
      </c>
      <c r="C19" s="74">
        <v>0</v>
      </c>
      <c r="D19" s="74">
        <v>0</v>
      </c>
      <c r="E19" s="74">
        <v>0</v>
      </c>
    </row>
    <row r="20" spans="1:9" ht="15.75" x14ac:dyDescent="0.25">
      <c r="A20" s="98" t="s">
        <v>202</v>
      </c>
      <c r="B20" s="178"/>
      <c r="C20" s="74"/>
      <c r="D20" s="74"/>
      <c r="E20" s="74"/>
    </row>
    <row r="21" spans="1:9" ht="15.75" x14ac:dyDescent="0.25">
      <c r="A21" s="98" t="s">
        <v>203</v>
      </c>
      <c r="B21" s="178">
        <v>9580</v>
      </c>
      <c r="C21" s="74">
        <v>9372</v>
      </c>
      <c r="D21" s="74">
        <f>(1250221804858+17878538647)/1000000</f>
        <v>1268100.343505</v>
      </c>
      <c r="E21" s="74">
        <v>1277206.5261659999</v>
      </c>
      <c r="G21" s="222"/>
      <c r="H21" s="178">
        <f>2811227.90797/1000+6579775.872/1000+68-(-120551289.695378/1000000)</f>
        <v>9579.5550696653791</v>
      </c>
    </row>
    <row r="22" spans="1:9" ht="15.75" x14ac:dyDescent="0.25">
      <c r="A22" s="98" t="s">
        <v>204</v>
      </c>
      <c r="B22" s="288">
        <v>23345</v>
      </c>
      <c r="C22" s="74">
        <v>46912</v>
      </c>
      <c r="D22" s="74">
        <f>738972100684/1000000</f>
        <v>738972.10068399995</v>
      </c>
      <c r="E22" s="74">
        <v>721843.052669</v>
      </c>
      <c r="H22" s="288">
        <f>42070000/1000+6278992.13041/1000-B23-(25000000000/1000000)-(5019146.69352084-2657586.32802034)/1000000</f>
        <v>23344.590569044496</v>
      </c>
    </row>
    <row r="23" spans="1:9" ht="15.75" x14ac:dyDescent="0.25">
      <c r="A23" s="201" t="s">
        <v>205</v>
      </c>
      <c r="B23" s="320">
        <f>2040001/1000000</f>
        <v>2.0400010000000002</v>
      </c>
      <c r="C23" s="317">
        <v>2</v>
      </c>
      <c r="D23" s="320">
        <f>198942795934/1000000</f>
        <v>198942.79593399999</v>
      </c>
      <c r="E23" s="317">
        <v>231039.94138</v>
      </c>
    </row>
    <row r="24" spans="1:9" ht="15.75" x14ac:dyDescent="0.25">
      <c r="A24" s="143" t="s">
        <v>206</v>
      </c>
      <c r="B24" s="321"/>
      <c r="C24" s="318"/>
      <c r="D24" s="321"/>
      <c r="E24" s="318"/>
    </row>
    <row r="25" spans="1:9" ht="15.75" x14ac:dyDescent="0.25">
      <c r="A25" s="98" t="s">
        <v>31</v>
      </c>
      <c r="B25" s="178">
        <v>0</v>
      </c>
      <c r="C25" s="74">
        <v>0</v>
      </c>
      <c r="D25" s="74">
        <v>0</v>
      </c>
      <c r="E25" s="74">
        <v>0</v>
      </c>
    </row>
    <row r="26" spans="1:9" ht="15.75" x14ac:dyDescent="0.25">
      <c r="A26" s="98" t="s">
        <v>32</v>
      </c>
      <c r="B26" s="178">
        <v>0</v>
      </c>
      <c r="C26" s="74">
        <v>0</v>
      </c>
      <c r="D26" s="74">
        <v>0</v>
      </c>
      <c r="E26" s="74">
        <v>0</v>
      </c>
    </row>
    <row r="27" spans="1:9" ht="15.75" x14ac:dyDescent="0.25">
      <c r="A27" s="98" t="s">
        <v>119</v>
      </c>
      <c r="B27" s="178">
        <v>210</v>
      </c>
      <c r="C27" s="74">
        <v>211</v>
      </c>
      <c r="D27" s="74">
        <f>29109589696/1000000</f>
        <v>29109.589695999999</v>
      </c>
      <c r="E27" s="74">
        <v>29187.796281999999</v>
      </c>
    </row>
    <row r="28" spans="1:9" ht="15.75" x14ac:dyDescent="0.25">
      <c r="A28" s="98" t="s">
        <v>33</v>
      </c>
      <c r="B28" s="178">
        <v>0</v>
      </c>
      <c r="C28" s="74">
        <v>0</v>
      </c>
      <c r="D28" s="74">
        <v>0</v>
      </c>
      <c r="E28" s="74">
        <v>0</v>
      </c>
    </row>
    <row r="29" spans="1:9" ht="15.75" x14ac:dyDescent="0.25">
      <c r="A29" s="98" t="s">
        <v>309</v>
      </c>
      <c r="B29" s="178">
        <v>0</v>
      </c>
      <c r="C29" s="74">
        <v>0</v>
      </c>
      <c r="D29" s="74">
        <v>0</v>
      </c>
      <c r="E29" s="74">
        <v>0</v>
      </c>
    </row>
    <row r="30" spans="1:9" ht="15.75" x14ac:dyDescent="0.25">
      <c r="A30" s="98" t="s">
        <v>162</v>
      </c>
      <c r="B30" s="178">
        <v>0</v>
      </c>
      <c r="C30" s="74">
        <v>0</v>
      </c>
      <c r="D30" s="74">
        <f>63016927644/1000000</f>
        <v>63016.927644000003</v>
      </c>
      <c r="E30" s="74">
        <v>63011.436291999999</v>
      </c>
    </row>
    <row r="31" spans="1:9" ht="15.75" x14ac:dyDescent="0.25">
      <c r="A31" s="98" t="s">
        <v>34</v>
      </c>
      <c r="B31" s="178">
        <v>541</v>
      </c>
      <c r="C31" s="74">
        <v>34</v>
      </c>
      <c r="D31" s="74">
        <f>119645677761/1000000</f>
        <v>119645.677761</v>
      </c>
      <c r="E31" s="74">
        <v>107992.170573</v>
      </c>
    </row>
    <row r="32" spans="1:9" s="210" customFormat="1" ht="15.75" x14ac:dyDescent="0.25">
      <c r="A32" s="96" t="s">
        <v>35</v>
      </c>
      <c r="B32" s="99">
        <f>SUM(B13:B31)</f>
        <v>58829.882683159085</v>
      </c>
      <c r="C32" s="99">
        <v>59503.040001000001</v>
      </c>
      <c r="D32" s="99">
        <f>SUM(D13:D31)</f>
        <v>2746121.8532639998</v>
      </c>
      <c r="E32" s="99">
        <f>SUM(E13:E31)</f>
        <v>2740103.5354960002</v>
      </c>
      <c r="F32" s="223"/>
      <c r="G32" s="223"/>
      <c r="I32" s="213"/>
    </row>
    <row r="33" spans="1:9" ht="15.75" x14ac:dyDescent="0.25">
      <c r="A33" s="96" t="s">
        <v>36</v>
      </c>
      <c r="B33" s="178"/>
      <c r="C33" s="74"/>
      <c r="D33" s="74"/>
      <c r="E33" s="74"/>
      <c r="I33" s="197"/>
    </row>
    <row r="34" spans="1:9" ht="15.75" x14ac:dyDescent="0.25">
      <c r="A34" s="98" t="s">
        <v>37</v>
      </c>
      <c r="B34" s="178">
        <f>39218000000/1000000</f>
        <v>39218</v>
      </c>
      <c r="C34" s="74">
        <v>40813</v>
      </c>
      <c r="D34" s="74">
        <f>16817648807/1000000</f>
        <v>16817.648807000001</v>
      </c>
      <c r="E34" s="74">
        <v>18294.804104999999</v>
      </c>
    </row>
    <row r="35" spans="1:9" ht="15.75" x14ac:dyDescent="0.25">
      <c r="A35" s="98" t="s">
        <v>29</v>
      </c>
      <c r="B35" s="178">
        <v>0</v>
      </c>
      <c r="C35" s="74">
        <v>0</v>
      </c>
      <c r="D35" s="74">
        <v>0</v>
      </c>
      <c r="E35" s="74">
        <v>0</v>
      </c>
      <c r="I35" s="197"/>
    </row>
    <row r="36" spans="1:9" ht="15.75" x14ac:dyDescent="0.25">
      <c r="A36" s="98" t="s">
        <v>212</v>
      </c>
      <c r="B36" s="178"/>
      <c r="C36" s="74"/>
      <c r="D36" s="74"/>
      <c r="E36" s="74"/>
    </row>
    <row r="37" spans="1:9" ht="15.75" x14ac:dyDescent="0.25">
      <c r="A37" s="98" t="s">
        <v>200</v>
      </c>
      <c r="B37" s="178">
        <v>0</v>
      </c>
      <c r="C37" s="74">
        <v>0</v>
      </c>
      <c r="D37" s="74">
        <v>0</v>
      </c>
      <c r="E37" s="74">
        <v>0</v>
      </c>
    </row>
    <row r="38" spans="1:9" ht="15.75" x14ac:dyDescent="0.25">
      <c r="A38" s="98" t="s">
        <v>201</v>
      </c>
      <c r="B38" s="178">
        <v>0</v>
      </c>
      <c r="C38" s="74">
        <v>0</v>
      </c>
      <c r="D38" s="74">
        <v>0</v>
      </c>
      <c r="E38" s="74">
        <v>0</v>
      </c>
    </row>
    <row r="39" spans="1:9" ht="15.75" x14ac:dyDescent="0.25">
      <c r="A39" s="98" t="s">
        <v>207</v>
      </c>
      <c r="B39" s="178"/>
      <c r="C39" s="74"/>
      <c r="D39" s="74"/>
      <c r="E39" s="74"/>
    </row>
    <row r="40" spans="1:9" ht="15.75" x14ac:dyDescent="0.25">
      <c r="A40" s="98" t="s">
        <v>208</v>
      </c>
      <c r="B40" s="178">
        <f>(1150808.97208+5647715.12653)/1000</f>
        <v>6798.5240986099998</v>
      </c>
      <c r="C40" s="74">
        <v>6440</v>
      </c>
      <c r="D40" s="74">
        <f>2426733255363/1000000</f>
        <v>2426733.2553630001</v>
      </c>
      <c r="E40" s="74">
        <v>2399970.6460580002</v>
      </c>
    </row>
    <row r="41" spans="1:9" ht="15.75" x14ac:dyDescent="0.25">
      <c r="A41" s="98" t="s">
        <v>209</v>
      </c>
      <c r="B41" s="178">
        <v>0</v>
      </c>
      <c r="C41" s="74">
        <v>0</v>
      </c>
      <c r="D41" s="74">
        <v>0</v>
      </c>
      <c r="E41" s="74">
        <v>0</v>
      </c>
    </row>
    <row r="42" spans="1:9" ht="15.75" x14ac:dyDescent="0.25">
      <c r="A42" s="98" t="s">
        <v>210</v>
      </c>
      <c r="B42" s="178">
        <v>0</v>
      </c>
      <c r="C42" s="74">
        <v>0</v>
      </c>
      <c r="D42" s="74">
        <v>0</v>
      </c>
      <c r="E42" s="74">
        <v>0</v>
      </c>
    </row>
    <row r="43" spans="1:9" ht="15.75" x14ac:dyDescent="0.25">
      <c r="A43" s="98" t="s">
        <v>38</v>
      </c>
      <c r="B43" s="178">
        <v>0</v>
      </c>
      <c r="C43" s="74">
        <v>0</v>
      </c>
      <c r="D43" s="74">
        <v>0</v>
      </c>
      <c r="E43" s="74">
        <v>0</v>
      </c>
    </row>
    <row r="44" spans="1:9" ht="15.75" x14ac:dyDescent="0.25">
      <c r="A44" s="98" t="s">
        <v>211</v>
      </c>
      <c r="B44" s="178">
        <f>8554862/1000000</f>
        <v>8.554862</v>
      </c>
      <c r="C44" s="74">
        <v>8</v>
      </c>
      <c r="D44" s="74">
        <f>32769273/1000000</f>
        <v>32.769272999999998</v>
      </c>
      <c r="E44" s="74">
        <v>33.500749999999996</v>
      </c>
    </row>
    <row r="45" spans="1:9" ht="15.75" x14ac:dyDescent="0.25">
      <c r="A45" s="98" t="s">
        <v>39</v>
      </c>
      <c r="B45" s="288">
        <f>269422.65791/1000</f>
        <v>269.42265791</v>
      </c>
      <c r="C45" s="74">
        <v>258</v>
      </c>
      <c r="D45" s="74">
        <v>0</v>
      </c>
      <c r="E45" s="74">
        <v>0</v>
      </c>
    </row>
    <row r="46" spans="1:9" ht="15.75" x14ac:dyDescent="0.25">
      <c r="A46" s="98" t="s">
        <v>122</v>
      </c>
      <c r="B46" s="288">
        <f>20682.00099/1000</f>
        <v>20.682000989999999</v>
      </c>
      <c r="C46" s="74">
        <v>64</v>
      </c>
      <c r="D46" s="74">
        <f>7687500/1000000</f>
        <v>7.6875</v>
      </c>
      <c r="E46" s="74">
        <v>7.5799529999999997</v>
      </c>
    </row>
    <row r="47" spans="1:9" ht="15.75" x14ac:dyDescent="0.25">
      <c r="A47" s="98" t="s">
        <v>40</v>
      </c>
      <c r="B47" s="180">
        <f>199598.7276/1000+6363597.02014937/1000000-B44</f>
        <v>197.40746262014937</v>
      </c>
      <c r="C47" s="180">
        <v>171</v>
      </c>
      <c r="D47" s="74">
        <f>0/1000</f>
        <v>0</v>
      </c>
      <c r="E47" s="74">
        <v>0</v>
      </c>
    </row>
    <row r="48" spans="1:9" ht="15.75" x14ac:dyDescent="0.25">
      <c r="A48" s="98" t="s">
        <v>41</v>
      </c>
      <c r="B48" s="180">
        <v>0</v>
      </c>
      <c r="C48" s="180">
        <v>0</v>
      </c>
      <c r="D48" s="74">
        <f>88538470474/1000000</f>
        <v>88538.470474000002</v>
      </c>
      <c r="E48" s="74">
        <v>152348.89622200001</v>
      </c>
    </row>
    <row r="49" spans="1:8" ht="15.75" x14ac:dyDescent="0.25">
      <c r="A49" s="98" t="s">
        <v>42</v>
      </c>
      <c r="B49" s="178">
        <v>0</v>
      </c>
      <c r="C49" s="74">
        <v>0</v>
      </c>
      <c r="D49" s="74">
        <v>0</v>
      </c>
      <c r="E49" s="74">
        <v>0</v>
      </c>
    </row>
    <row r="50" spans="1:8" s="210" customFormat="1" ht="15.75" x14ac:dyDescent="0.25">
      <c r="A50" s="96" t="s">
        <v>43</v>
      </c>
      <c r="B50" s="214">
        <f>SUM(B34:B49)</f>
        <v>46512.591082130137</v>
      </c>
      <c r="C50" s="214">
        <v>47754</v>
      </c>
      <c r="D50" s="99">
        <f>SUM(D34:D49)</f>
        <v>2532129.8314169999</v>
      </c>
      <c r="E50" s="99">
        <v>2570655.4270880003</v>
      </c>
    </row>
    <row r="51" spans="1:8" ht="15.75" x14ac:dyDescent="0.25">
      <c r="A51" s="96" t="s">
        <v>44</v>
      </c>
      <c r="B51" s="178"/>
      <c r="C51" s="74"/>
      <c r="D51" s="74"/>
      <c r="E51" s="74"/>
    </row>
    <row r="52" spans="1:8" ht="15.75" x14ac:dyDescent="0.25">
      <c r="A52" s="98" t="s">
        <v>45</v>
      </c>
      <c r="B52" s="178">
        <v>2289</v>
      </c>
      <c r="C52" s="74">
        <v>2289</v>
      </c>
      <c r="D52" s="74">
        <f>189024122560/1000000</f>
        <v>189024.12255999999</v>
      </c>
      <c r="E52" s="74">
        <v>164369.88324</v>
      </c>
    </row>
    <row r="53" spans="1:8" ht="15.75" x14ac:dyDescent="0.25">
      <c r="A53" s="98" t="s">
        <v>46</v>
      </c>
      <c r="B53" s="178">
        <v>438.00663718000004</v>
      </c>
      <c r="C53" s="74">
        <v>438</v>
      </c>
      <c r="D53" s="74">
        <f>29267762322/1000000</f>
        <v>29267.762321999999</v>
      </c>
      <c r="E53" s="74">
        <v>29267.762321999999</v>
      </c>
    </row>
    <row r="54" spans="1:8" ht="15.75" x14ac:dyDescent="0.25">
      <c r="A54" s="98" t="s">
        <v>213</v>
      </c>
      <c r="B54" s="178">
        <v>667</v>
      </c>
      <c r="C54" s="74">
        <v>657</v>
      </c>
      <c r="D54" s="74">
        <v>0</v>
      </c>
      <c r="E54" s="74">
        <v>0</v>
      </c>
    </row>
    <row r="55" spans="1:8" ht="15.75" x14ac:dyDescent="0.25">
      <c r="A55" s="98" t="s">
        <v>47</v>
      </c>
      <c r="B55" s="286">
        <v>8521.0656087622065</v>
      </c>
      <c r="C55" s="74">
        <v>7963</v>
      </c>
      <c r="D55" s="74">
        <v>0</v>
      </c>
      <c r="E55" s="74">
        <v>0</v>
      </c>
    </row>
    <row r="56" spans="1:8" ht="15.75" x14ac:dyDescent="0.25">
      <c r="A56" s="98" t="s">
        <v>48</v>
      </c>
      <c r="B56" s="178">
        <v>402.00142051</v>
      </c>
      <c r="C56" s="74">
        <v>401.577</v>
      </c>
      <c r="D56" s="74">
        <f>+(-6779420770+2479557733)/1000000</f>
        <v>-4299.8630370000001</v>
      </c>
      <c r="E56" s="74">
        <v>-24189.537147999999</v>
      </c>
    </row>
    <row r="57" spans="1:8" s="225" customFormat="1" ht="15.75" x14ac:dyDescent="0.25">
      <c r="A57" s="96" t="s">
        <v>49</v>
      </c>
      <c r="B57" s="214">
        <f>SUM(B52:B56)</f>
        <v>12317.073666452206</v>
      </c>
      <c r="C57" s="214">
        <v>11748.576999999999</v>
      </c>
      <c r="D57" s="99">
        <f t="shared" ref="D57" si="0">SUM(D52:D56)</f>
        <v>213992.02184499998</v>
      </c>
      <c r="E57" s="99">
        <v>169448.10841399999</v>
      </c>
      <c r="F57" s="224"/>
      <c r="H57" s="224"/>
    </row>
    <row r="58" spans="1:8" ht="15.75" x14ac:dyDescent="0.25">
      <c r="A58" s="98" t="s">
        <v>177</v>
      </c>
      <c r="B58" s="178">
        <v>0</v>
      </c>
      <c r="C58" s="74">
        <v>0</v>
      </c>
      <c r="D58" s="74">
        <v>0</v>
      </c>
      <c r="E58" s="74">
        <v>0</v>
      </c>
    </row>
    <row r="59" spans="1:8" s="210" customFormat="1" ht="15.75" x14ac:dyDescent="0.25">
      <c r="A59" s="96" t="s">
        <v>50</v>
      </c>
      <c r="B59" s="214">
        <f>+B58+B57</f>
        <v>12317.073666452206</v>
      </c>
      <c r="C59" s="99">
        <v>11748.576999999999</v>
      </c>
      <c r="D59" s="99">
        <f>+D58+D57</f>
        <v>213992.02184499998</v>
      </c>
      <c r="E59" s="99">
        <v>169448.10841399999</v>
      </c>
    </row>
    <row r="60" spans="1:8" s="210" customFormat="1" ht="15.75" x14ac:dyDescent="0.25">
      <c r="A60" s="96" t="s">
        <v>51</v>
      </c>
      <c r="B60" s="214">
        <f>+B59+B50</f>
        <v>58829.664748582341</v>
      </c>
      <c r="C60" s="99">
        <v>59502.576999999997</v>
      </c>
      <c r="D60" s="99">
        <f>+D59+D50</f>
        <v>2746121.8532619998</v>
      </c>
      <c r="E60" s="99">
        <v>2740103.5355020002</v>
      </c>
    </row>
    <row r="61" spans="1:8" ht="15.75" x14ac:dyDescent="0.25">
      <c r="A61" s="96" t="s">
        <v>52</v>
      </c>
      <c r="B61" s="178">
        <v>6731</v>
      </c>
      <c r="C61" s="74">
        <v>6796</v>
      </c>
      <c r="D61" s="74">
        <f>710346760167/1000000</f>
        <v>710346.760167</v>
      </c>
      <c r="E61" s="74">
        <v>682764.45039999997</v>
      </c>
    </row>
    <row r="62" spans="1:8" ht="15.75" x14ac:dyDescent="0.25">
      <c r="A62" s="96" t="s">
        <v>53</v>
      </c>
      <c r="B62" s="178"/>
      <c r="C62" s="74"/>
      <c r="D62" s="74"/>
      <c r="E62" s="74"/>
    </row>
    <row r="63" spans="1:8" ht="15.75" x14ac:dyDescent="0.25">
      <c r="A63" s="98" t="s">
        <v>54</v>
      </c>
      <c r="B63" s="178">
        <v>19</v>
      </c>
      <c r="C63" s="74">
        <v>19</v>
      </c>
      <c r="D63" s="74">
        <v>23080</v>
      </c>
      <c r="E63" s="74">
        <v>23579</v>
      </c>
    </row>
    <row r="64" spans="1:8" ht="15.75" x14ac:dyDescent="0.25">
      <c r="A64" s="98" t="s">
        <v>55</v>
      </c>
      <c r="B64" s="178">
        <v>1</v>
      </c>
      <c r="C64" s="74">
        <v>1</v>
      </c>
      <c r="D64" s="74">
        <v>3269</v>
      </c>
      <c r="E64" s="74">
        <v>3217</v>
      </c>
    </row>
    <row r="65" spans="1:5" x14ac:dyDescent="0.25">
      <c r="A65" s="226" t="s">
        <v>214</v>
      </c>
      <c r="B65" s="108"/>
      <c r="D65" s="108"/>
      <c r="E65" s="108"/>
    </row>
    <row r="66" spans="1:5" ht="15.75" x14ac:dyDescent="0.25">
      <c r="B66" s="227"/>
      <c r="D66" s="228"/>
      <c r="E66" s="228"/>
    </row>
    <row r="67" spans="1:5" ht="15.75" x14ac:dyDescent="0.25">
      <c r="B67" s="227"/>
      <c r="D67" s="228"/>
      <c r="E67" s="228"/>
    </row>
    <row r="68" spans="1:5" ht="15.75" x14ac:dyDescent="0.25">
      <c r="B68" s="227"/>
      <c r="D68" s="228"/>
      <c r="E68" s="228"/>
    </row>
    <row r="69" spans="1:5" ht="15.75" x14ac:dyDescent="0.25">
      <c r="B69" s="227"/>
      <c r="D69" s="228"/>
      <c r="E69" s="228"/>
    </row>
    <row r="70" spans="1:5" x14ac:dyDescent="0.25">
      <c r="B70" s="228"/>
      <c r="D70" s="228"/>
      <c r="E70" s="228"/>
    </row>
    <row r="71" spans="1:5" x14ac:dyDescent="0.25">
      <c r="B71" s="228"/>
      <c r="D71" s="228"/>
      <c r="E71" s="228"/>
    </row>
    <row r="72" spans="1:5" x14ac:dyDescent="0.25">
      <c r="B72" s="228"/>
      <c r="D72" s="228"/>
      <c r="E72" s="228"/>
    </row>
    <row r="73" spans="1:5" x14ac:dyDescent="0.25">
      <c r="B73" s="228"/>
      <c r="D73" s="228"/>
      <c r="E73" s="228"/>
    </row>
    <row r="74" spans="1:5" x14ac:dyDescent="0.25">
      <c r="B74" s="228"/>
      <c r="D74" s="228"/>
      <c r="E74" s="228"/>
    </row>
    <row r="75" spans="1:5" x14ac:dyDescent="0.25">
      <c r="B75" s="228"/>
      <c r="D75" s="228"/>
      <c r="E75" s="228"/>
    </row>
    <row r="76" spans="1:5" x14ac:dyDescent="0.25">
      <c r="B76" s="228"/>
      <c r="D76" s="228"/>
      <c r="E76" s="228"/>
    </row>
    <row r="77" spans="1:5" x14ac:dyDescent="0.25">
      <c r="B77" s="228"/>
      <c r="D77" s="228"/>
      <c r="E77" s="228"/>
    </row>
    <row r="78" spans="1:5" x14ac:dyDescent="0.25">
      <c r="B78" s="228"/>
      <c r="D78" s="228"/>
      <c r="E78" s="228"/>
    </row>
    <row r="79" spans="1:5" x14ac:dyDescent="0.25">
      <c r="B79" s="228"/>
      <c r="D79" s="228"/>
      <c r="E79" s="228"/>
    </row>
  </sheetData>
  <mergeCells count="10">
    <mergeCell ref="B23:B24"/>
    <mergeCell ref="A1:E1"/>
    <mergeCell ref="A2:E2"/>
    <mergeCell ref="A4:E4"/>
    <mergeCell ref="A3:E3"/>
    <mergeCell ref="B5:C5"/>
    <mergeCell ref="D5:E5"/>
    <mergeCell ref="C23:C24"/>
    <mergeCell ref="D23:D24"/>
    <mergeCell ref="E23:E24"/>
  </mergeCells>
  <phoneticPr fontId="0" type="noConversion"/>
  <pageMargins left="0.45" right="0.17" top="0.48" bottom="0.26" header="0.31496062992126" footer="0.17"/>
  <pageSetup paperSize="9" scale="77" orientation="portrait" r:id="rId1"/>
  <rowBreaks count="1" manualBreakCount="1">
    <brk id="65"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64"/>
  <sheetViews>
    <sheetView topLeftCell="A4" zoomScaleNormal="100" workbookViewId="0">
      <selection activeCell="F18" sqref="F18"/>
    </sheetView>
  </sheetViews>
  <sheetFormatPr defaultColWidth="9.140625" defaultRowHeight="15" x14ac:dyDescent="0.25"/>
  <cols>
    <col min="1" max="1" width="45.7109375" style="1" customWidth="1"/>
    <col min="2" max="2" width="11.5703125" style="1" bestFit="1" customWidth="1"/>
    <col min="3" max="3" width="12" style="1" bestFit="1" customWidth="1"/>
    <col min="4" max="4" width="9.7109375" style="1" bestFit="1" customWidth="1"/>
    <col min="5" max="5" width="14" style="1" bestFit="1" customWidth="1"/>
    <col min="6" max="6" width="8.28515625" style="1" bestFit="1" customWidth="1"/>
    <col min="7" max="7" width="12.85546875" style="1" bestFit="1" customWidth="1"/>
    <col min="8" max="8" width="12.28515625" style="1" bestFit="1" customWidth="1"/>
    <col min="9" max="9" width="12.85546875" style="1" bestFit="1" customWidth="1"/>
    <col min="10" max="10" width="9.85546875" style="1" bestFit="1" customWidth="1"/>
    <col min="11" max="11" width="11.7109375" style="1" bestFit="1" customWidth="1"/>
    <col min="12" max="12" width="12.85546875" style="1" bestFit="1" customWidth="1"/>
    <col min="13" max="13" width="12.28515625" style="1" bestFit="1" customWidth="1"/>
    <col min="14" max="16384" width="9.140625" style="1"/>
  </cols>
  <sheetData>
    <row r="1" spans="1:19" ht="15.75" x14ac:dyDescent="0.25">
      <c r="A1" s="333" t="s">
        <v>21</v>
      </c>
      <c r="B1" s="334"/>
      <c r="C1" s="334"/>
      <c r="D1" s="334"/>
      <c r="E1" s="334"/>
      <c r="F1" s="334"/>
      <c r="G1" s="334"/>
      <c r="H1" s="334"/>
      <c r="I1" s="334"/>
      <c r="J1" s="334"/>
      <c r="K1" s="334"/>
      <c r="L1" s="335"/>
    </row>
    <row r="2" spans="1:19" ht="15.75" x14ac:dyDescent="0.25">
      <c r="A2" s="336" t="s">
        <v>56</v>
      </c>
      <c r="B2" s="337"/>
      <c r="C2" s="337"/>
      <c r="D2" s="337"/>
      <c r="E2" s="337"/>
      <c r="F2" s="337"/>
      <c r="G2" s="337"/>
      <c r="H2" s="337"/>
      <c r="I2" s="337"/>
      <c r="J2" s="337"/>
      <c r="K2" s="337"/>
      <c r="L2" s="338"/>
      <c r="M2" s="43"/>
      <c r="N2" s="43"/>
      <c r="O2" s="43"/>
      <c r="P2" s="43"/>
      <c r="Q2" s="43"/>
      <c r="R2" s="43"/>
      <c r="S2" s="43"/>
    </row>
    <row r="3" spans="1:19" ht="15.75" x14ac:dyDescent="0.25">
      <c r="A3" s="336" t="s">
        <v>351</v>
      </c>
      <c r="B3" s="337"/>
      <c r="C3" s="337"/>
      <c r="D3" s="337"/>
      <c r="E3" s="337"/>
      <c r="F3" s="337"/>
      <c r="G3" s="337"/>
      <c r="H3" s="337"/>
      <c r="I3" s="337"/>
      <c r="J3" s="337"/>
      <c r="K3" s="337"/>
      <c r="L3" s="338"/>
      <c r="M3" s="43"/>
      <c r="N3" s="43"/>
      <c r="O3" s="43"/>
      <c r="P3" s="43"/>
      <c r="Q3" s="43"/>
      <c r="R3" s="43"/>
      <c r="S3" s="43"/>
    </row>
    <row r="4" spans="1:19" ht="15.75" x14ac:dyDescent="0.25">
      <c r="A4" s="342"/>
      <c r="B4" s="343"/>
      <c r="C4" s="343"/>
      <c r="D4" s="343"/>
      <c r="E4" s="343"/>
      <c r="F4" s="343"/>
      <c r="G4" s="343"/>
      <c r="H4" s="343"/>
      <c r="I4" s="343"/>
      <c r="J4" s="343"/>
      <c r="K4" s="343"/>
      <c r="L4" s="344"/>
      <c r="M4" s="42"/>
      <c r="N4" s="42"/>
      <c r="O4" s="42"/>
      <c r="P4" s="42"/>
      <c r="Q4" s="42"/>
      <c r="R4" s="42"/>
      <c r="S4" s="42"/>
    </row>
    <row r="5" spans="1:19" ht="37.5" customHeight="1" x14ac:dyDescent="0.25">
      <c r="A5" s="102" t="s">
        <v>16</v>
      </c>
      <c r="B5" s="100"/>
      <c r="C5" s="100"/>
      <c r="D5" s="100"/>
      <c r="E5" s="100"/>
      <c r="F5" s="100"/>
      <c r="G5" s="100"/>
      <c r="H5" s="100"/>
      <c r="I5" s="100"/>
      <c r="J5" s="100"/>
      <c r="K5" s="100"/>
      <c r="L5" s="101"/>
    </row>
    <row r="6" spans="1:19" ht="15.75" x14ac:dyDescent="0.25">
      <c r="A6" s="38"/>
      <c r="B6" s="339" t="s">
        <v>322</v>
      </c>
      <c r="C6" s="340"/>
      <c r="D6" s="341"/>
      <c r="E6" s="339" t="s">
        <v>75</v>
      </c>
      <c r="F6" s="340"/>
      <c r="G6" s="340"/>
      <c r="H6" s="340"/>
      <c r="I6" s="341"/>
      <c r="J6" s="44"/>
      <c r="K6" s="48"/>
      <c r="L6" s="44"/>
    </row>
    <row r="7" spans="1:19" ht="31.5" x14ac:dyDescent="0.25">
      <c r="A7" s="39" t="s">
        <v>215</v>
      </c>
      <c r="B7" s="44" t="s">
        <v>69</v>
      </c>
      <c r="C7" s="44" t="s">
        <v>69</v>
      </c>
      <c r="D7" s="44" t="s">
        <v>73</v>
      </c>
      <c r="E7" s="328" t="s">
        <v>221</v>
      </c>
      <c r="F7" s="49" t="s">
        <v>222</v>
      </c>
      <c r="G7" s="45" t="s">
        <v>76</v>
      </c>
      <c r="H7" s="45" t="s">
        <v>78</v>
      </c>
      <c r="I7" s="45" t="s">
        <v>80</v>
      </c>
      <c r="J7" s="45" t="s">
        <v>82</v>
      </c>
      <c r="K7" s="49" t="s">
        <v>120</v>
      </c>
      <c r="L7" s="45" t="s">
        <v>50</v>
      </c>
    </row>
    <row r="8" spans="1:19" ht="15.75" x14ac:dyDescent="0.25">
      <c r="A8" s="40"/>
      <c r="B8" s="45" t="s">
        <v>70</v>
      </c>
      <c r="C8" s="45" t="s">
        <v>72</v>
      </c>
      <c r="D8" s="45" t="s">
        <v>74</v>
      </c>
      <c r="E8" s="328"/>
      <c r="F8" s="49" t="s">
        <v>77</v>
      </c>
      <c r="G8" s="45" t="s">
        <v>77</v>
      </c>
      <c r="H8" s="45" t="s">
        <v>79</v>
      </c>
      <c r="I8" s="45" t="s">
        <v>81</v>
      </c>
      <c r="J8" s="45"/>
      <c r="K8" s="45" t="s">
        <v>83</v>
      </c>
      <c r="L8" s="45"/>
    </row>
    <row r="9" spans="1:19" ht="15.75" x14ac:dyDescent="0.25">
      <c r="A9" s="23"/>
      <c r="B9" s="46" t="s">
        <v>71</v>
      </c>
      <c r="C9" s="46" t="s">
        <v>71</v>
      </c>
      <c r="D9" s="46"/>
      <c r="E9" s="329"/>
      <c r="F9" s="117"/>
      <c r="G9" s="46"/>
      <c r="H9" s="46"/>
      <c r="I9" s="46"/>
      <c r="J9" s="46"/>
      <c r="K9" s="46"/>
      <c r="L9" s="46"/>
    </row>
    <row r="10" spans="1:19" ht="15.75" x14ac:dyDescent="0.25">
      <c r="A10" s="18" t="s">
        <v>357</v>
      </c>
      <c r="B10" s="234">
        <v>0</v>
      </c>
      <c r="C10" s="234">
        <v>0</v>
      </c>
      <c r="D10" s="234">
        <v>2289</v>
      </c>
      <c r="E10" s="235">
        <v>438</v>
      </c>
      <c r="F10" s="289">
        <v>658</v>
      </c>
      <c r="G10" s="234">
        <v>58</v>
      </c>
      <c r="H10" s="234">
        <v>7991</v>
      </c>
      <c r="I10" s="234">
        <v>344</v>
      </c>
      <c r="J10" s="234">
        <f>SUM(B10:I10)</f>
        <v>11778</v>
      </c>
      <c r="K10" s="234">
        <v>0</v>
      </c>
      <c r="L10" s="234">
        <f>SUM(J10:K10)</f>
        <v>11778</v>
      </c>
      <c r="M10" s="83"/>
    </row>
    <row r="11" spans="1:19" ht="15.75" x14ac:dyDescent="0.25">
      <c r="A11" s="36" t="s">
        <v>57</v>
      </c>
      <c r="B11" s="182"/>
      <c r="C11" s="182"/>
      <c r="D11" s="182"/>
      <c r="E11" s="181"/>
      <c r="F11" s="181"/>
      <c r="G11" s="182"/>
      <c r="H11" s="182"/>
      <c r="I11" s="182"/>
      <c r="J11" s="234"/>
      <c r="K11" s="182"/>
      <c r="L11" s="234"/>
    </row>
    <row r="12" spans="1:19" ht="15.75" x14ac:dyDescent="0.25">
      <c r="A12" s="37" t="s">
        <v>218</v>
      </c>
      <c r="B12" s="182">
        <v>0</v>
      </c>
      <c r="C12" s="182">
        <v>0</v>
      </c>
      <c r="D12" s="182">
        <v>0</v>
      </c>
      <c r="E12" s="181">
        <v>0</v>
      </c>
      <c r="F12" s="181">
        <v>0</v>
      </c>
      <c r="G12" s="182">
        <v>0</v>
      </c>
      <c r="H12" s="182">
        <f>+'INCOME-I'!C42</f>
        <v>529.73657307170777</v>
      </c>
      <c r="I12" s="182">
        <v>0</v>
      </c>
      <c r="J12" s="234">
        <f>SUM(B12:I12)</f>
        <v>529.73657307170777</v>
      </c>
      <c r="K12" s="182">
        <v>0</v>
      </c>
      <c r="L12" s="234">
        <f>SUM(J12:K12)</f>
        <v>529.73657307170777</v>
      </c>
    </row>
    <row r="13" spans="1:19" ht="15.75" x14ac:dyDescent="0.25">
      <c r="A13" s="37" t="s">
        <v>58</v>
      </c>
      <c r="B13" s="182">
        <v>0</v>
      </c>
      <c r="C13" s="182">
        <v>0</v>
      </c>
      <c r="D13" s="182">
        <v>0</v>
      </c>
      <c r="E13" s="181">
        <v>0</v>
      </c>
      <c r="F13" s="181">
        <f>+'INCOME-II'!B34</f>
        <v>9</v>
      </c>
      <c r="G13" s="182">
        <v>0</v>
      </c>
      <c r="H13" s="182">
        <v>0</v>
      </c>
      <c r="I13" s="182">
        <v>0</v>
      </c>
      <c r="J13" s="234">
        <f>SUM(B13:I13)</f>
        <v>9</v>
      </c>
      <c r="K13" s="182">
        <v>0</v>
      </c>
      <c r="L13" s="234">
        <f>SUM(J13:K13)</f>
        <v>9</v>
      </c>
    </row>
    <row r="14" spans="1:19" ht="15.75" x14ac:dyDescent="0.25">
      <c r="A14" s="18" t="s">
        <v>57</v>
      </c>
      <c r="B14" s="99">
        <f t="shared" ref="B14:G14" si="0">+B10+B12+B13</f>
        <v>0</v>
      </c>
      <c r="C14" s="99">
        <f t="shared" si="0"/>
        <v>0</v>
      </c>
      <c r="D14" s="99">
        <v>2289</v>
      </c>
      <c r="E14" s="99">
        <f t="shared" si="0"/>
        <v>438</v>
      </c>
      <c r="F14" s="99">
        <f>+F10+F12+F13</f>
        <v>667</v>
      </c>
      <c r="G14" s="99">
        <f t="shared" si="0"/>
        <v>58</v>
      </c>
      <c r="H14" s="99">
        <f>+H10+H12+H13</f>
        <v>8520.7365730717083</v>
      </c>
      <c r="I14" s="99">
        <f>+I10+I12+I13</f>
        <v>344</v>
      </c>
      <c r="J14" s="234">
        <f>SUM(B14:I14)</f>
        <v>12316.736573071708</v>
      </c>
      <c r="K14" s="99">
        <f>+K10+K12+K13</f>
        <v>0</v>
      </c>
      <c r="L14" s="234">
        <f>SUM(J14:K14)</f>
        <v>12316.736573071708</v>
      </c>
    </row>
    <row r="15" spans="1:19" ht="15.75" x14ac:dyDescent="0.25">
      <c r="A15" s="5"/>
      <c r="B15" s="74"/>
      <c r="C15" s="74"/>
      <c r="D15" s="74"/>
      <c r="E15" s="74"/>
      <c r="F15" s="74"/>
      <c r="G15" s="74"/>
      <c r="H15" s="74"/>
      <c r="I15" s="74"/>
      <c r="J15" s="99"/>
      <c r="K15" s="74"/>
      <c r="L15" s="99"/>
    </row>
    <row r="16" spans="1:19" ht="15.75" x14ac:dyDescent="0.25">
      <c r="A16" s="116" t="s">
        <v>216</v>
      </c>
      <c r="B16" s="230"/>
      <c r="C16" s="230"/>
      <c r="D16" s="230"/>
      <c r="E16" s="231"/>
      <c r="F16" s="231"/>
      <c r="G16" s="230"/>
      <c r="H16" s="230"/>
      <c r="I16" s="230"/>
      <c r="J16" s="232"/>
      <c r="K16" s="230"/>
      <c r="L16" s="232"/>
    </row>
    <row r="17" spans="1:15" ht="15.75" x14ac:dyDescent="0.25">
      <c r="A17" s="113" t="s">
        <v>217</v>
      </c>
      <c r="B17" s="115"/>
      <c r="C17" s="115"/>
      <c r="D17" s="115"/>
      <c r="E17" s="115"/>
      <c r="F17" s="115"/>
      <c r="G17" s="115"/>
      <c r="H17" s="115"/>
      <c r="I17" s="115"/>
      <c r="J17" s="233"/>
      <c r="K17" s="115"/>
      <c r="L17" s="233"/>
    </row>
    <row r="18" spans="1:15" ht="15.75" x14ac:dyDescent="0.25">
      <c r="A18" s="19" t="s">
        <v>59</v>
      </c>
      <c r="B18" s="74">
        <v>0</v>
      </c>
      <c r="C18" s="74">
        <v>0</v>
      </c>
      <c r="D18" s="74">
        <v>0</v>
      </c>
      <c r="E18" s="236">
        <v>0</v>
      </c>
      <c r="F18" s="236">
        <v>0</v>
      </c>
      <c r="G18" s="74">
        <v>0</v>
      </c>
      <c r="H18" s="74">
        <v>0</v>
      </c>
      <c r="I18" s="74">
        <v>0</v>
      </c>
      <c r="J18" s="234">
        <f t="shared" ref="J18:J27" si="1">SUM(B18:I18)</f>
        <v>0</v>
      </c>
      <c r="K18" s="74">
        <v>0</v>
      </c>
      <c r="L18" s="234">
        <f t="shared" ref="L18:L24" si="2">SUM(J18:K18)</f>
        <v>0</v>
      </c>
      <c r="O18" s="83"/>
    </row>
    <row r="19" spans="1:15" ht="15.75" x14ac:dyDescent="0.25">
      <c r="A19" s="19" t="s">
        <v>60</v>
      </c>
      <c r="B19" s="74">
        <v>0</v>
      </c>
      <c r="C19" s="74">
        <v>0</v>
      </c>
      <c r="D19" s="74">
        <v>0</v>
      </c>
      <c r="E19" s="236">
        <v>0</v>
      </c>
      <c r="F19" s="236">
        <v>0</v>
      </c>
      <c r="G19" s="74">
        <v>0</v>
      </c>
      <c r="H19" s="74">
        <v>0</v>
      </c>
      <c r="I19" s="74">
        <v>0</v>
      </c>
      <c r="J19" s="234">
        <f t="shared" si="1"/>
        <v>0</v>
      </c>
      <c r="K19" s="74">
        <v>0</v>
      </c>
      <c r="L19" s="234">
        <f t="shared" si="2"/>
        <v>0</v>
      </c>
    </row>
    <row r="20" spans="1:15" ht="15.75" x14ac:dyDescent="0.25">
      <c r="A20" s="19" t="s">
        <v>61</v>
      </c>
      <c r="B20" s="74">
        <v>0</v>
      </c>
      <c r="C20" s="74">
        <v>0</v>
      </c>
      <c r="D20" s="74">
        <v>0</v>
      </c>
      <c r="E20" s="236">
        <v>0</v>
      </c>
      <c r="F20" s="236">
        <v>0</v>
      </c>
      <c r="G20" s="74">
        <v>0</v>
      </c>
      <c r="H20" s="74">
        <v>0</v>
      </c>
      <c r="I20" s="74">
        <v>0</v>
      </c>
      <c r="J20" s="234">
        <f t="shared" si="1"/>
        <v>0</v>
      </c>
      <c r="K20" s="74">
        <v>0</v>
      </c>
      <c r="L20" s="234">
        <f t="shared" si="2"/>
        <v>0</v>
      </c>
    </row>
    <row r="21" spans="1:15" ht="15.75" x14ac:dyDescent="0.25">
      <c r="A21" s="19" t="s">
        <v>62</v>
      </c>
      <c r="B21" s="74">
        <v>0</v>
      </c>
      <c r="C21" s="74">
        <v>0</v>
      </c>
      <c r="D21" s="74">
        <v>0</v>
      </c>
      <c r="E21" s="236">
        <v>0</v>
      </c>
      <c r="F21" s="236">
        <v>0</v>
      </c>
      <c r="G21" s="74">
        <v>0</v>
      </c>
      <c r="H21" s="74">
        <v>0</v>
      </c>
      <c r="I21" s="74">
        <v>0</v>
      </c>
      <c r="J21" s="234">
        <f t="shared" si="1"/>
        <v>0</v>
      </c>
      <c r="K21" s="74">
        <v>0</v>
      </c>
      <c r="L21" s="234">
        <f t="shared" si="2"/>
        <v>0</v>
      </c>
    </row>
    <row r="22" spans="1:15" ht="15.75" x14ac:dyDescent="0.25">
      <c r="A22" s="19" t="s">
        <v>219</v>
      </c>
      <c r="B22" s="74">
        <v>0</v>
      </c>
      <c r="C22" s="74">
        <v>0</v>
      </c>
      <c r="D22" s="74">
        <v>0</v>
      </c>
      <c r="E22" s="236">
        <v>0</v>
      </c>
      <c r="F22" s="236">
        <v>0</v>
      </c>
      <c r="G22" s="74">
        <v>0</v>
      </c>
      <c r="H22" s="74">
        <f>-E22</f>
        <v>0</v>
      </c>
      <c r="I22" s="74">
        <v>0</v>
      </c>
      <c r="J22" s="234">
        <f t="shared" si="1"/>
        <v>0</v>
      </c>
      <c r="K22" s="74"/>
      <c r="L22" s="234">
        <f t="shared" si="2"/>
        <v>0</v>
      </c>
      <c r="M22" s="83"/>
    </row>
    <row r="23" spans="1:15" ht="15.75" x14ac:dyDescent="0.25">
      <c r="A23" s="19" t="s">
        <v>63</v>
      </c>
      <c r="B23" s="74">
        <v>0</v>
      </c>
      <c r="C23" s="74">
        <v>0</v>
      </c>
      <c r="D23" s="74">
        <v>0</v>
      </c>
      <c r="E23" s="236">
        <v>0</v>
      </c>
      <c r="F23" s="236">
        <v>0</v>
      </c>
      <c r="G23" s="74">
        <v>0</v>
      </c>
      <c r="H23" s="74">
        <v>0</v>
      </c>
      <c r="I23" s="74">
        <v>0</v>
      </c>
      <c r="J23" s="234">
        <f t="shared" si="1"/>
        <v>0</v>
      </c>
      <c r="K23" s="74">
        <v>0</v>
      </c>
      <c r="L23" s="234">
        <f t="shared" si="2"/>
        <v>0</v>
      </c>
    </row>
    <row r="24" spans="1:15" ht="15.75" x14ac:dyDescent="0.25">
      <c r="A24" s="19" t="s">
        <v>64</v>
      </c>
      <c r="B24" s="74">
        <v>0</v>
      </c>
      <c r="C24" s="74">
        <v>0</v>
      </c>
      <c r="D24" s="74">
        <v>0</v>
      </c>
      <c r="E24" s="236">
        <v>0</v>
      </c>
      <c r="F24" s="236">
        <v>0</v>
      </c>
      <c r="G24" s="74">
        <v>0</v>
      </c>
      <c r="H24" s="74">
        <v>0</v>
      </c>
      <c r="I24" s="74">
        <v>0</v>
      </c>
      <c r="J24" s="234">
        <f t="shared" si="1"/>
        <v>0</v>
      </c>
      <c r="K24" s="74">
        <v>0</v>
      </c>
      <c r="L24" s="234">
        <f t="shared" si="2"/>
        <v>0</v>
      </c>
    </row>
    <row r="25" spans="1:15" ht="15.75" x14ac:dyDescent="0.25">
      <c r="A25" s="6" t="s">
        <v>65</v>
      </c>
      <c r="B25" s="320">
        <v>0</v>
      </c>
      <c r="C25" s="320">
        <v>0</v>
      </c>
      <c r="D25" s="320">
        <v>0</v>
      </c>
      <c r="E25" s="320">
        <v>0</v>
      </c>
      <c r="F25" s="320">
        <v>0</v>
      </c>
      <c r="G25" s="317">
        <v>0</v>
      </c>
      <c r="H25" s="320">
        <v>0</v>
      </c>
      <c r="I25" s="320">
        <v>0</v>
      </c>
      <c r="J25" s="326">
        <f t="shared" si="1"/>
        <v>0</v>
      </c>
      <c r="K25" s="317">
        <v>0</v>
      </c>
      <c r="L25" s="326">
        <f>SUM(J25:K25)</f>
        <v>0</v>
      </c>
    </row>
    <row r="26" spans="1:15" ht="15.75" x14ac:dyDescent="0.25">
      <c r="A26" s="114" t="s">
        <v>66</v>
      </c>
      <c r="B26" s="321"/>
      <c r="C26" s="321"/>
      <c r="D26" s="321"/>
      <c r="E26" s="321"/>
      <c r="F26" s="321"/>
      <c r="G26" s="318"/>
      <c r="H26" s="321"/>
      <c r="I26" s="321"/>
      <c r="J26" s="327"/>
      <c r="K26" s="318"/>
      <c r="L26" s="327"/>
    </row>
    <row r="27" spans="1:15" ht="15.75" x14ac:dyDescent="0.25">
      <c r="A27" s="6" t="s">
        <v>67</v>
      </c>
      <c r="B27" s="74">
        <v>0</v>
      </c>
      <c r="C27" s="74">
        <v>0</v>
      </c>
      <c r="D27" s="74">
        <v>0</v>
      </c>
      <c r="E27" s="236">
        <v>0</v>
      </c>
      <c r="F27" s="236">
        <v>0</v>
      </c>
      <c r="G27" s="74">
        <v>0</v>
      </c>
      <c r="H27" s="74">
        <v>0</v>
      </c>
      <c r="I27" s="74">
        <v>0</v>
      </c>
      <c r="J27" s="234">
        <f t="shared" si="1"/>
        <v>0</v>
      </c>
      <c r="K27" s="74">
        <v>0</v>
      </c>
      <c r="L27" s="234">
        <f>SUM(J27:K27)</f>
        <v>0</v>
      </c>
    </row>
    <row r="28" spans="1:15" ht="15.75" x14ac:dyDescent="0.25">
      <c r="A28" s="18" t="s">
        <v>68</v>
      </c>
      <c r="B28" s="99">
        <f>SUM(B18:B27)</f>
        <v>0</v>
      </c>
      <c r="C28" s="99">
        <f t="shared" ref="C28:G28" si="3">SUM(C18:C27)</f>
        <v>0</v>
      </c>
      <c r="D28" s="99">
        <f t="shared" si="3"/>
        <v>0</v>
      </c>
      <c r="E28" s="99">
        <f>SUM(E18:E27)</f>
        <v>0</v>
      </c>
      <c r="F28" s="99">
        <f t="shared" si="3"/>
        <v>0</v>
      </c>
      <c r="G28" s="99">
        <f t="shared" si="3"/>
        <v>0</v>
      </c>
      <c r="H28" s="99">
        <f>SUM(H18:H27)</f>
        <v>0</v>
      </c>
      <c r="I28" s="99">
        <f>SUM(I18:I27)</f>
        <v>0</v>
      </c>
      <c r="J28" s="234">
        <f>SUM(B28:I28)</f>
        <v>0</v>
      </c>
      <c r="K28" s="74">
        <v>0</v>
      </c>
      <c r="L28" s="234">
        <f>SUM(J28:K28)</f>
        <v>0</v>
      </c>
    </row>
    <row r="29" spans="1:15" ht="15.75" x14ac:dyDescent="0.25">
      <c r="A29" s="18" t="s">
        <v>358</v>
      </c>
      <c r="B29" s="99">
        <f>+B14+B28</f>
        <v>0</v>
      </c>
      <c r="C29" s="99">
        <f t="shared" ref="C29:H29" si="4">+C14+C28</f>
        <v>0</v>
      </c>
      <c r="D29" s="99">
        <f t="shared" si="4"/>
        <v>2289</v>
      </c>
      <c r="E29" s="99">
        <f t="shared" si="4"/>
        <v>438</v>
      </c>
      <c r="F29" s="99">
        <f t="shared" si="4"/>
        <v>667</v>
      </c>
      <c r="G29" s="99">
        <f t="shared" si="4"/>
        <v>58</v>
      </c>
      <c r="H29" s="99">
        <f t="shared" si="4"/>
        <v>8520.7365730717083</v>
      </c>
      <c r="I29" s="99">
        <f>+I14+I28</f>
        <v>344</v>
      </c>
      <c r="J29" s="234">
        <f>SUM(B29:I29)</f>
        <v>12316.736573071708</v>
      </c>
      <c r="K29" s="99">
        <f>+K14+K28</f>
        <v>0</v>
      </c>
      <c r="L29" s="99">
        <f>+L14+L28</f>
        <v>12316.736573071708</v>
      </c>
    </row>
    <row r="30" spans="1:15" s="50" customFormat="1" ht="15.75" x14ac:dyDescent="0.25">
      <c r="A30" s="39"/>
      <c r="B30" s="64"/>
      <c r="C30" s="290"/>
      <c r="D30" s="290"/>
      <c r="E30" s="290"/>
      <c r="F30" s="290"/>
      <c r="G30" s="290"/>
      <c r="H30" s="290"/>
      <c r="I30" s="290"/>
      <c r="J30" s="290"/>
      <c r="K30" s="290"/>
      <c r="L30" s="290"/>
    </row>
    <row r="31" spans="1:15" s="50" customFormat="1" ht="15.75" x14ac:dyDescent="0.25">
      <c r="A31" s="39"/>
      <c r="B31" s="64"/>
      <c r="C31" s="64"/>
      <c r="D31" s="64"/>
      <c r="E31" s="64"/>
      <c r="F31" s="64"/>
      <c r="G31" s="64"/>
      <c r="H31" s="64"/>
      <c r="I31" s="64"/>
      <c r="J31" s="64"/>
      <c r="K31" s="64"/>
      <c r="L31" s="64"/>
    </row>
    <row r="32" spans="1:15" s="50" customFormat="1" x14ac:dyDescent="0.25">
      <c r="B32" s="51"/>
      <c r="C32" s="51"/>
      <c r="D32" s="51"/>
      <c r="E32" s="51"/>
      <c r="F32" s="51"/>
      <c r="G32" s="51"/>
      <c r="H32" s="51"/>
      <c r="I32" s="51"/>
      <c r="J32" s="51"/>
      <c r="K32" s="51"/>
      <c r="L32" s="51"/>
    </row>
    <row r="33" spans="1:13" ht="15.75" x14ac:dyDescent="0.25">
      <c r="A33" s="345" t="s">
        <v>100</v>
      </c>
      <c r="B33" s="103"/>
      <c r="C33" s="103"/>
      <c r="D33" s="103"/>
      <c r="E33" s="103"/>
      <c r="F33" s="103"/>
      <c r="G33" s="103"/>
      <c r="H33" s="103"/>
      <c r="I33" s="103"/>
      <c r="J33" s="103"/>
      <c r="K33" s="103"/>
      <c r="L33" s="104"/>
    </row>
    <row r="34" spans="1:13" ht="22.5" customHeight="1" x14ac:dyDescent="0.25">
      <c r="A34" s="346"/>
      <c r="B34" s="105"/>
      <c r="C34" s="105"/>
      <c r="D34" s="105"/>
      <c r="E34" s="105"/>
      <c r="F34" s="105"/>
      <c r="G34" s="105"/>
      <c r="H34" s="105"/>
      <c r="I34" s="105"/>
      <c r="J34" s="105"/>
      <c r="K34" s="105"/>
      <c r="L34" s="106"/>
    </row>
    <row r="35" spans="1:13" ht="15.75" x14ac:dyDescent="0.25">
      <c r="A35" s="38"/>
      <c r="B35" s="330" t="s">
        <v>322</v>
      </c>
      <c r="C35" s="331"/>
      <c r="D35" s="332"/>
      <c r="E35" s="330" t="s">
        <v>75</v>
      </c>
      <c r="F35" s="331"/>
      <c r="G35" s="331"/>
      <c r="H35" s="332"/>
      <c r="I35" s="47"/>
      <c r="J35" s="44"/>
      <c r="K35" s="48"/>
      <c r="L35" s="44"/>
    </row>
    <row r="36" spans="1:13" ht="31.5" x14ac:dyDescent="0.25">
      <c r="A36" s="89" t="s">
        <v>220</v>
      </c>
      <c r="B36" s="44" t="s">
        <v>69</v>
      </c>
      <c r="C36" s="44" t="s">
        <v>69</v>
      </c>
      <c r="D36" s="44" t="s">
        <v>73</v>
      </c>
      <c r="E36" s="328" t="s">
        <v>221</v>
      </c>
      <c r="F36" s="49" t="s">
        <v>222</v>
      </c>
      <c r="G36" s="45" t="s">
        <v>76</v>
      </c>
      <c r="H36" s="45" t="s">
        <v>78</v>
      </c>
      <c r="I36" s="45" t="s">
        <v>80</v>
      </c>
      <c r="J36" s="45" t="s">
        <v>82</v>
      </c>
      <c r="K36" s="49" t="s">
        <v>120</v>
      </c>
      <c r="L36" s="45" t="s">
        <v>50</v>
      </c>
    </row>
    <row r="37" spans="1:13" ht="15.75" customHeight="1" x14ac:dyDescent="0.25">
      <c r="A37" s="40"/>
      <c r="B37" s="45" t="s">
        <v>70</v>
      </c>
      <c r="C37" s="45" t="s">
        <v>72</v>
      </c>
      <c r="D37" s="45" t="s">
        <v>74</v>
      </c>
      <c r="E37" s="328"/>
      <c r="F37" s="49" t="s">
        <v>77</v>
      </c>
      <c r="G37" s="45" t="s">
        <v>77</v>
      </c>
      <c r="H37" s="45" t="s">
        <v>79</v>
      </c>
      <c r="I37" s="45" t="s">
        <v>81</v>
      </c>
      <c r="J37" s="45"/>
      <c r="K37" s="45" t="s">
        <v>83</v>
      </c>
      <c r="L37" s="45"/>
    </row>
    <row r="38" spans="1:13" ht="15.75" x14ac:dyDescent="0.25">
      <c r="A38" s="23"/>
      <c r="B38" s="46" t="s">
        <v>71</v>
      </c>
      <c r="C38" s="46" t="s">
        <v>71</v>
      </c>
      <c r="D38" s="46"/>
      <c r="E38" s="329"/>
      <c r="F38" s="117"/>
      <c r="G38" s="46"/>
      <c r="H38" s="46"/>
      <c r="I38" s="46"/>
      <c r="J38" s="46"/>
      <c r="K38" s="46"/>
      <c r="L38" s="46"/>
    </row>
    <row r="39" spans="1:13" s="7" customFormat="1" ht="15.75" x14ac:dyDescent="0.25">
      <c r="A39" s="18" t="s">
        <v>357</v>
      </c>
      <c r="B39" s="281">
        <v>164369.883</v>
      </c>
      <c r="C39" s="281">
        <v>0</v>
      </c>
      <c r="D39" s="281">
        <v>0</v>
      </c>
      <c r="E39" s="281">
        <v>29267.761999999999</v>
      </c>
      <c r="F39" s="281">
        <v>0</v>
      </c>
      <c r="G39" s="281">
        <v>22204.588</v>
      </c>
      <c r="H39" s="281">
        <v>-188138.62299999999</v>
      </c>
      <c r="I39" s="281">
        <v>141744.49799999999</v>
      </c>
      <c r="J39" s="281">
        <v>169448.10799999998</v>
      </c>
      <c r="K39" s="281">
        <v>0</v>
      </c>
      <c r="L39" s="281">
        <v>169448.10799999998</v>
      </c>
      <c r="M39" s="282"/>
    </row>
    <row r="40" spans="1:13" s="7" customFormat="1" ht="15.75" x14ac:dyDescent="0.25">
      <c r="A40" s="36" t="s">
        <v>57</v>
      </c>
      <c r="B40" s="214"/>
      <c r="C40" s="214"/>
      <c r="D40" s="214"/>
      <c r="E40" s="214"/>
      <c r="F40" s="214"/>
      <c r="G40" s="214"/>
      <c r="H40" s="214"/>
      <c r="I40" s="214"/>
      <c r="J40" s="214"/>
      <c r="K40" s="214"/>
      <c r="L40" s="214"/>
    </row>
    <row r="41" spans="1:13" ht="15.75" x14ac:dyDescent="0.25">
      <c r="A41" s="37" t="s">
        <v>218</v>
      </c>
      <c r="B41" s="178">
        <v>0</v>
      </c>
      <c r="C41" s="178">
        <v>0</v>
      </c>
      <c r="D41" s="178">
        <v>0</v>
      </c>
      <c r="E41" s="178">
        <v>0</v>
      </c>
      <c r="F41" s="178">
        <v>0</v>
      </c>
      <c r="G41" s="178">
        <v>0</v>
      </c>
      <c r="H41" s="178">
        <f>3266406/1000</f>
        <v>3266.4059999999999</v>
      </c>
      <c r="I41" s="178">
        <v>0</v>
      </c>
      <c r="J41" s="214">
        <f>SUM(B41:I41)</f>
        <v>3266.4059999999999</v>
      </c>
      <c r="K41" s="178">
        <v>0</v>
      </c>
      <c r="L41" s="214">
        <f>SUM(J41:K41)</f>
        <v>3266.4059999999999</v>
      </c>
    </row>
    <row r="42" spans="1:13" ht="15.75" x14ac:dyDescent="0.25">
      <c r="A42" s="37" t="s">
        <v>58</v>
      </c>
      <c r="B42" s="178">
        <v>0</v>
      </c>
      <c r="C42" s="178">
        <v>0</v>
      </c>
      <c r="D42" s="178">
        <v>0</v>
      </c>
      <c r="E42" s="178">
        <v>0</v>
      </c>
      <c r="F42" s="178">
        <v>0</v>
      </c>
      <c r="G42" s="178">
        <v>0</v>
      </c>
      <c r="H42" s="178">
        <v>0</v>
      </c>
      <c r="I42" s="178">
        <v>0</v>
      </c>
      <c r="J42" s="214">
        <f>SUM(B42:I42)</f>
        <v>0</v>
      </c>
      <c r="K42" s="178">
        <v>0</v>
      </c>
      <c r="L42" s="214">
        <f>SUM(J42:K42)</f>
        <v>0</v>
      </c>
    </row>
    <row r="43" spans="1:13" s="7" customFormat="1" ht="15.75" x14ac:dyDescent="0.25">
      <c r="A43" s="18" t="s">
        <v>57</v>
      </c>
      <c r="B43" s="214">
        <f>B39</f>
        <v>164369.883</v>
      </c>
      <c r="C43" s="214">
        <f>+C40+C41+C42</f>
        <v>0</v>
      </c>
      <c r="D43" s="214">
        <f>+D40+D41+D42</f>
        <v>0</v>
      </c>
      <c r="E43" s="214">
        <f>E39</f>
        <v>29267.761999999999</v>
      </c>
      <c r="F43" s="214">
        <f>F39</f>
        <v>0</v>
      </c>
      <c r="G43" s="214">
        <f>G39</f>
        <v>22204.588</v>
      </c>
      <c r="H43" s="214">
        <f>SUM(H39:H42)</f>
        <v>-184872.217</v>
      </c>
      <c r="I43" s="214">
        <f>I39</f>
        <v>141744.49799999999</v>
      </c>
      <c r="J43" s="214">
        <f>SUM(B43:I43)</f>
        <v>172714.51399999997</v>
      </c>
      <c r="K43" s="214">
        <f>+K40+K41+K42</f>
        <v>0</v>
      </c>
      <c r="L43" s="214">
        <f>SUM(J43:K43)</f>
        <v>172714.51399999997</v>
      </c>
    </row>
    <row r="44" spans="1:13" ht="15.75" x14ac:dyDescent="0.25">
      <c r="A44" s="19"/>
      <c r="B44" s="178"/>
      <c r="C44" s="178"/>
      <c r="D44" s="178"/>
      <c r="E44" s="178"/>
      <c r="F44" s="178"/>
      <c r="G44" s="178"/>
      <c r="H44" s="178"/>
      <c r="I44" s="178"/>
      <c r="J44" s="178"/>
      <c r="K44" s="178"/>
      <c r="L44" s="178"/>
    </row>
    <row r="45" spans="1:13" s="7" customFormat="1" ht="15.75" x14ac:dyDescent="0.25">
      <c r="A45" s="116" t="s">
        <v>216</v>
      </c>
      <c r="B45" s="230"/>
      <c r="C45" s="230"/>
      <c r="D45" s="230"/>
      <c r="E45" s="231"/>
      <c r="F45" s="231"/>
      <c r="G45" s="230"/>
      <c r="H45" s="230"/>
      <c r="I45" s="230"/>
      <c r="J45" s="230"/>
      <c r="K45" s="230"/>
      <c r="L45" s="232"/>
    </row>
    <row r="46" spans="1:13" s="7" customFormat="1" ht="15.75" x14ac:dyDescent="0.25">
      <c r="A46" s="113" t="s">
        <v>217</v>
      </c>
      <c r="B46" s="115"/>
      <c r="C46" s="115"/>
      <c r="D46" s="115"/>
      <c r="E46" s="115"/>
      <c r="F46" s="115"/>
      <c r="G46" s="115"/>
      <c r="H46" s="115"/>
      <c r="I46" s="115"/>
      <c r="J46" s="115"/>
      <c r="K46" s="115"/>
      <c r="L46" s="233"/>
      <c r="M46" s="152"/>
    </row>
    <row r="47" spans="1:13" ht="15.75" x14ac:dyDescent="0.25">
      <c r="A47" s="19" t="s">
        <v>59</v>
      </c>
      <c r="B47" s="178">
        <f>24654239/1000</f>
        <v>24654.239000000001</v>
      </c>
      <c r="C47" s="178">
        <v>0</v>
      </c>
      <c r="D47" s="178">
        <v>0</v>
      </c>
      <c r="E47" s="178">
        <v>0</v>
      </c>
      <c r="F47" s="178">
        <v>0</v>
      </c>
      <c r="G47" s="178">
        <v>0</v>
      </c>
      <c r="H47" s="178">
        <v>0</v>
      </c>
      <c r="I47" s="178">
        <f>16345761/1000</f>
        <v>16345.761</v>
      </c>
      <c r="J47" s="214">
        <f>SUM(B47:I47)</f>
        <v>41000</v>
      </c>
      <c r="K47" s="178">
        <v>0</v>
      </c>
      <c r="L47" s="214">
        <f>SUM(J47:K47)</f>
        <v>41000</v>
      </c>
    </row>
    <row r="48" spans="1:13" s="8" customFormat="1" ht="15.75" x14ac:dyDescent="0.25">
      <c r="A48" s="19" t="s">
        <v>60</v>
      </c>
      <c r="B48" s="178">
        <v>0</v>
      </c>
      <c r="C48" s="178">
        <v>0</v>
      </c>
      <c r="D48" s="178">
        <v>0</v>
      </c>
      <c r="E48" s="178">
        <v>0</v>
      </c>
      <c r="F48" s="178">
        <v>0</v>
      </c>
      <c r="G48" s="178">
        <v>0</v>
      </c>
      <c r="H48" s="178">
        <v>0</v>
      </c>
      <c r="I48" s="178">
        <v>0</v>
      </c>
      <c r="J48" s="214">
        <f t="shared" ref="J48:J56" si="5">SUM(B48:I48)</f>
        <v>0</v>
      </c>
      <c r="K48" s="178">
        <v>0</v>
      </c>
      <c r="L48" s="214">
        <f t="shared" ref="L48:L56" si="6">SUM(J48:K48)</f>
        <v>0</v>
      </c>
    </row>
    <row r="49" spans="1:14" ht="15.75" x14ac:dyDescent="0.25">
      <c r="A49" s="19" t="s">
        <v>61</v>
      </c>
      <c r="B49" s="178">
        <v>0</v>
      </c>
      <c r="C49" s="178">
        <v>0</v>
      </c>
      <c r="D49" s="178">
        <v>0</v>
      </c>
      <c r="E49" s="178">
        <v>0</v>
      </c>
      <c r="F49" s="178">
        <v>0</v>
      </c>
      <c r="G49" s="178">
        <v>0</v>
      </c>
      <c r="H49" s="178">
        <v>0</v>
      </c>
      <c r="I49" s="178">
        <v>0</v>
      </c>
      <c r="J49" s="214">
        <f t="shared" si="5"/>
        <v>0</v>
      </c>
      <c r="K49" s="178">
        <v>0</v>
      </c>
      <c r="L49" s="214">
        <f t="shared" si="6"/>
        <v>0</v>
      </c>
    </row>
    <row r="50" spans="1:14" ht="15.75" x14ac:dyDescent="0.25">
      <c r="A50" s="19" t="s">
        <v>62</v>
      </c>
      <c r="B50" s="178">
        <v>0</v>
      </c>
      <c r="C50" s="178">
        <v>0</v>
      </c>
      <c r="D50" s="178">
        <v>0</v>
      </c>
      <c r="E50" s="178">
        <v>0</v>
      </c>
      <c r="F50" s="178">
        <v>0</v>
      </c>
      <c r="G50" s="178">
        <v>0</v>
      </c>
      <c r="H50" s="178">
        <v>0</v>
      </c>
      <c r="I50" s="178">
        <v>0</v>
      </c>
      <c r="J50" s="214">
        <f t="shared" si="5"/>
        <v>0</v>
      </c>
      <c r="K50" s="178">
        <v>0</v>
      </c>
      <c r="L50" s="214">
        <f t="shared" si="6"/>
        <v>0</v>
      </c>
    </row>
    <row r="51" spans="1:14" ht="15.75" x14ac:dyDescent="0.25">
      <c r="A51" s="19" t="s">
        <v>219</v>
      </c>
      <c r="B51" s="178">
        <v>0</v>
      </c>
      <c r="C51" s="178">
        <v>0</v>
      </c>
      <c r="D51" s="178">
        <v>0</v>
      </c>
      <c r="E51" s="178">
        <v>0</v>
      </c>
      <c r="F51" s="178">
        <v>0</v>
      </c>
      <c r="G51" s="178">
        <v>0</v>
      </c>
      <c r="H51" s="178">
        <f>-500000/1000</f>
        <v>-500</v>
      </c>
      <c r="I51" s="178">
        <v>0</v>
      </c>
      <c r="J51" s="214">
        <f t="shared" si="5"/>
        <v>-500</v>
      </c>
      <c r="K51" s="178">
        <v>0</v>
      </c>
      <c r="L51" s="214">
        <f t="shared" si="6"/>
        <v>-500</v>
      </c>
    </row>
    <row r="52" spans="1:14" ht="15.75" x14ac:dyDescent="0.25">
      <c r="A52" s="19" t="s">
        <v>63</v>
      </c>
      <c r="B52" s="178">
        <v>0</v>
      </c>
      <c r="C52" s="178">
        <v>0</v>
      </c>
      <c r="D52" s="178">
        <v>0</v>
      </c>
      <c r="E52" s="178">
        <v>0</v>
      </c>
      <c r="F52" s="178">
        <v>0</v>
      </c>
      <c r="G52" s="178">
        <v>0</v>
      </c>
      <c r="H52" s="178">
        <v>0</v>
      </c>
      <c r="I52" s="178">
        <v>0</v>
      </c>
      <c r="J52" s="214">
        <f t="shared" si="5"/>
        <v>0</v>
      </c>
      <c r="K52" s="178">
        <v>0</v>
      </c>
      <c r="L52" s="214">
        <f t="shared" si="6"/>
        <v>0</v>
      </c>
    </row>
    <row r="53" spans="1:14" ht="15.75" x14ac:dyDescent="0.25">
      <c r="A53" s="19" t="s">
        <v>64</v>
      </c>
      <c r="B53" s="178">
        <v>0</v>
      </c>
      <c r="C53" s="178">
        <v>0</v>
      </c>
      <c r="D53" s="178">
        <v>0</v>
      </c>
      <c r="E53" s="178">
        <v>0</v>
      </c>
      <c r="F53" s="178">
        <v>0</v>
      </c>
      <c r="G53" s="178">
        <v>0</v>
      </c>
      <c r="H53" s="178">
        <v>0</v>
      </c>
      <c r="I53" s="178">
        <v>0</v>
      </c>
      <c r="J53" s="214">
        <f t="shared" si="5"/>
        <v>0</v>
      </c>
      <c r="K53" s="178">
        <v>0</v>
      </c>
      <c r="L53" s="214">
        <f t="shared" si="6"/>
        <v>0</v>
      </c>
    </row>
    <row r="54" spans="1:14" ht="15.75" x14ac:dyDescent="0.25">
      <c r="A54" s="6" t="s">
        <v>65</v>
      </c>
      <c r="B54" s="320">
        <v>0</v>
      </c>
      <c r="C54" s="320">
        <v>0</v>
      </c>
      <c r="D54" s="320">
        <v>0</v>
      </c>
      <c r="E54" s="320">
        <v>0</v>
      </c>
      <c r="F54" s="320">
        <v>0</v>
      </c>
      <c r="G54" s="320">
        <f>69020/1000</f>
        <v>69.02</v>
      </c>
      <c r="H54" s="320">
        <v>0</v>
      </c>
      <c r="I54" s="320">
        <v>0</v>
      </c>
      <c r="J54" s="324">
        <f t="shared" si="5"/>
        <v>69.02</v>
      </c>
      <c r="K54" s="320">
        <v>0</v>
      </c>
      <c r="L54" s="324">
        <f t="shared" si="6"/>
        <v>69.02</v>
      </c>
    </row>
    <row r="55" spans="1:14" ht="15.75" x14ac:dyDescent="0.25">
      <c r="A55" s="114" t="s">
        <v>66</v>
      </c>
      <c r="B55" s="321"/>
      <c r="C55" s="321"/>
      <c r="D55" s="321"/>
      <c r="E55" s="321"/>
      <c r="F55" s="321"/>
      <c r="G55" s="321"/>
      <c r="H55" s="321"/>
      <c r="I55" s="321"/>
      <c r="J55" s="325"/>
      <c r="K55" s="321"/>
      <c r="L55" s="325"/>
    </row>
    <row r="56" spans="1:14" ht="15.75" x14ac:dyDescent="0.25">
      <c r="A56" s="6" t="s">
        <v>67</v>
      </c>
      <c r="B56" s="178">
        <v>0</v>
      </c>
      <c r="C56" s="178">
        <v>0</v>
      </c>
      <c r="D56" s="178">
        <v>0</v>
      </c>
      <c r="E56" s="178"/>
      <c r="F56" s="178">
        <v>0</v>
      </c>
      <c r="G56" s="178">
        <v>-10.58</v>
      </c>
      <c r="H56" s="178">
        <v>0</v>
      </c>
      <c r="I56" s="178">
        <f>718869/1000+198/1000</f>
        <v>719.06700000000001</v>
      </c>
      <c r="J56" s="214">
        <f t="shared" si="5"/>
        <v>708.48699999999997</v>
      </c>
      <c r="K56" s="178">
        <v>0</v>
      </c>
      <c r="L56" s="214">
        <f t="shared" si="6"/>
        <v>708.48699999999997</v>
      </c>
      <c r="N56" s="43"/>
    </row>
    <row r="57" spans="1:14" s="7" customFormat="1" ht="15.75" x14ac:dyDescent="0.25">
      <c r="A57" s="18" t="s">
        <v>68</v>
      </c>
      <c r="B57" s="214">
        <f>SUM(B47:B56)</f>
        <v>24654.239000000001</v>
      </c>
      <c r="C57" s="214">
        <f t="shared" ref="C57:K57" si="7">SUM(C47:C56)</f>
        <v>0</v>
      </c>
      <c r="D57" s="214">
        <f t="shared" si="7"/>
        <v>0</v>
      </c>
      <c r="E57" s="214">
        <f t="shared" si="7"/>
        <v>0</v>
      </c>
      <c r="F57" s="214">
        <f>SUM(F47:F56)</f>
        <v>0</v>
      </c>
      <c r="G57" s="214">
        <f>SUM(G47:G56)</f>
        <v>58.44</v>
      </c>
      <c r="H57" s="214">
        <f t="shared" si="7"/>
        <v>-500</v>
      </c>
      <c r="I57" s="214">
        <f t="shared" si="7"/>
        <v>17064.828000000001</v>
      </c>
      <c r="J57" s="214">
        <f>SUM(J47:J56)</f>
        <v>41277.506999999998</v>
      </c>
      <c r="K57" s="214">
        <f t="shared" si="7"/>
        <v>0</v>
      </c>
      <c r="L57" s="214">
        <f>SUM(L47:L56)</f>
        <v>41277.506999999998</v>
      </c>
      <c r="M57" s="13"/>
    </row>
    <row r="58" spans="1:14" s="7" customFormat="1" ht="15.75" x14ac:dyDescent="0.25">
      <c r="A58" s="18" t="s">
        <v>358</v>
      </c>
      <c r="B58" s="214">
        <f>+B57+B43</f>
        <v>189024.122</v>
      </c>
      <c r="C58" s="214">
        <f>+C43</f>
        <v>0</v>
      </c>
      <c r="D58" s="214">
        <f>+D43</f>
        <v>0</v>
      </c>
      <c r="E58" s="214">
        <f t="shared" ref="E58:J58" si="8">+E57+E43</f>
        <v>29267.761999999999</v>
      </c>
      <c r="F58" s="214">
        <f t="shared" si="8"/>
        <v>0</v>
      </c>
      <c r="G58" s="214">
        <f t="shared" si="8"/>
        <v>22263.027999999998</v>
      </c>
      <c r="H58" s="214">
        <f t="shared" si="8"/>
        <v>-185372.217</v>
      </c>
      <c r="I58" s="214">
        <f t="shared" si="8"/>
        <v>158809.326</v>
      </c>
      <c r="J58" s="214">
        <f t="shared" si="8"/>
        <v>213992.02099999995</v>
      </c>
      <c r="K58" s="214">
        <f>+K43</f>
        <v>0</v>
      </c>
      <c r="L58" s="214">
        <f>+K58+J58</f>
        <v>213992.02099999995</v>
      </c>
    </row>
    <row r="59" spans="1:14" x14ac:dyDescent="0.25">
      <c r="I59" s="76"/>
    </row>
    <row r="60" spans="1:14" x14ac:dyDescent="0.25">
      <c r="I60" s="83"/>
    </row>
    <row r="61" spans="1:14" x14ac:dyDescent="0.25">
      <c r="J61" s="10"/>
    </row>
    <row r="62" spans="1:14" x14ac:dyDescent="0.25">
      <c r="J62" s="10"/>
    </row>
    <row r="63" spans="1:14" x14ac:dyDescent="0.25">
      <c r="G63" s="83"/>
      <c r="J63" s="9"/>
    </row>
    <row r="64" spans="1:14" x14ac:dyDescent="0.25">
      <c r="J64" s="9"/>
    </row>
  </sheetData>
  <mergeCells count="33">
    <mergeCell ref="B35:D35"/>
    <mergeCell ref="A1:L1"/>
    <mergeCell ref="A2:L2"/>
    <mergeCell ref="B6:D6"/>
    <mergeCell ref="A4:L4"/>
    <mergeCell ref="A3:L3"/>
    <mergeCell ref="A33:A34"/>
    <mergeCell ref="E35:H35"/>
    <mergeCell ref="E7:E9"/>
    <mergeCell ref="E6:I6"/>
    <mergeCell ref="G54:G55"/>
    <mergeCell ref="J54:J55"/>
    <mergeCell ref="B54:B55"/>
    <mergeCell ref="C54:C55"/>
    <mergeCell ref="D54:D55"/>
    <mergeCell ref="E54:E55"/>
    <mergeCell ref="F54:F55"/>
    <mergeCell ref="L54:L55"/>
    <mergeCell ref="B25:B26"/>
    <mergeCell ref="C25:C26"/>
    <mergeCell ref="D25:D26"/>
    <mergeCell ref="E25:E26"/>
    <mergeCell ref="F25:F26"/>
    <mergeCell ref="H25:H26"/>
    <mergeCell ref="I25:I26"/>
    <mergeCell ref="J25:J26"/>
    <mergeCell ref="G25:G26"/>
    <mergeCell ref="L25:L26"/>
    <mergeCell ref="K25:K26"/>
    <mergeCell ref="E36:E38"/>
    <mergeCell ref="H54:H55"/>
    <mergeCell ref="I54:I55"/>
    <mergeCell ref="K54:K55"/>
  </mergeCells>
  <phoneticPr fontId="0" type="noConversion"/>
  <pageMargins left="0.41" right="0.17" top="0.61" bottom="0.74803149606299202" header="0.31496062992126" footer="0.31496062992126"/>
  <pageSetup paperSize="9" scale="68" fitToWidth="2" fitToHeight="2"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Normal="100" workbookViewId="0">
      <selection activeCell="B35" sqref="B35"/>
    </sheetView>
  </sheetViews>
  <sheetFormatPr defaultColWidth="9.140625" defaultRowHeight="15" x14ac:dyDescent="0.25"/>
  <cols>
    <col min="1" max="1" width="64.85546875" style="91" customWidth="1"/>
    <col min="2" max="2" width="11.5703125" style="91" customWidth="1"/>
    <col min="3" max="3" width="12.5703125" style="91" customWidth="1"/>
    <col min="4" max="4" width="11.7109375" style="91" hidden="1" customWidth="1"/>
    <col min="5" max="5" width="12.7109375" style="91" hidden="1" customWidth="1"/>
    <col min="6" max="6" width="9.140625" style="91"/>
    <col min="7" max="7" width="16.42578125" style="91" customWidth="1"/>
    <col min="8" max="16384" width="9.140625" style="91"/>
  </cols>
  <sheetData>
    <row r="1" spans="1:5" ht="15.75" x14ac:dyDescent="0.25">
      <c r="A1" s="302" t="s">
        <v>21</v>
      </c>
      <c r="B1" s="303"/>
      <c r="C1" s="303"/>
    </row>
    <row r="2" spans="1:5" ht="15.75" x14ac:dyDescent="0.25">
      <c r="A2" s="305" t="s">
        <v>130</v>
      </c>
      <c r="B2" s="306"/>
      <c r="C2" s="306"/>
    </row>
    <row r="3" spans="1:5" ht="15.75" x14ac:dyDescent="0.25">
      <c r="A3" s="305" t="s">
        <v>351</v>
      </c>
      <c r="B3" s="306"/>
      <c r="C3" s="306"/>
    </row>
    <row r="4" spans="1:5" ht="15.75" x14ac:dyDescent="0.25">
      <c r="A4" s="308"/>
      <c r="B4" s="309"/>
      <c r="C4" s="309"/>
    </row>
    <row r="5" spans="1:5" ht="15.75" x14ac:dyDescent="0.25">
      <c r="A5" s="92"/>
      <c r="B5" s="347" t="s">
        <v>158</v>
      </c>
      <c r="C5" s="347"/>
      <c r="D5" s="347" t="s">
        <v>345</v>
      </c>
      <c r="E5" s="347"/>
    </row>
    <row r="6" spans="1:5" ht="15.75" x14ac:dyDescent="0.25">
      <c r="A6" s="93" t="s">
        <v>178</v>
      </c>
      <c r="B6" s="177" t="s">
        <v>17</v>
      </c>
      <c r="C6" s="177" t="s">
        <v>307</v>
      </c>
      <c r="D6" s="177" t="s">
        <v>17</v>
      </c>
      <c r="E6" s="177" t="s">
        <v>307</v>
      </c>
    </row>
    <row r="7" spans="1:5" ht="15.75" x14ac:dyDescent="0.25">
      <c r="A7" s="94"/>
      <c r="B7" s="177" t="s">
        <v>306</v>
      </c>
      <c r="C7" s="177" t="s">
        <v>306</v>
      </c>
      <c r="D7" s="177" t="s">
        <v>306</v>
      </c>
      <c r="E7" s="177" t="s">
        <v>306</v>
      </c>
    </row>
    <row r="8" spans="1:5" ht="15.75" x14ac:dyDescent="0.25">
      <c r="A8" s="94"/>
      <c r="B8" s="237" t="s">
        <v>352</v>
      </c>
      <c r="C8" s="237" t="s">
        <v>343</v>
      </c>
      <c r="D8" s="237" t="s">
        <v>352</v>
      </c>
      <c r="E8" s="237" t="s">
        <v>343</v>
      </c>
    </row>
    <row r="9" spans="1:5" ht="15.75" x14ac:dyDescent="0.25">
      <c r="A9" s="143"/>
      <c r="B9" s="95"/>
      <c r="C9" s="95" t="s">
        <v>124</v>
      </c>
      <c r="D9" s="95" t="s">
        <v>124</v>
      </c>
      <c r="E9" s="95" t="s">
        <v>124</v>
      </c>
    </row>
    <row r="10" spans="1:5" ht="15.75" x14ac:dyDescent="0.25">
      <c r="A10" s="96" t="s">
        <v>131</v>
      </c>
      <c r="B10" s="97"/>
      <c r="C10" s="97"/>
      <c r="D10" s="97"/>
      <c r="E10" s="97"/>
    </row>
    <row r="11" spans="1:5" ht="15.75" x14ac:dyDescent="0.25">
      <c r="A11" s="98" t="s">
        <v>223</v>
      </c>
      <c r="B11" s="178">
        <f>'INCOME-I'!C14</f>
        <v>722.94259223499989</v>
      </c>
      <c r="C11" s="74">
        <v>2428</v>
      </c>
      <c r="D11" s="178">
        <f>'INCOME-I'!E14</f>
        <v>40631.651632000001</v>
      </c>
      <c r="E11" s="275">
        <v>169655.32416700001</v>
      </c>
    </row>
    <row r="12" spans="1:5" ht="15.75" x14ac:dyDescent="0.25">
      <c r="A12" s="98" t="s">
        <v>224</v>
      </c>
      <c r="B12" s="178">
        <f>-'INCOME-I'!C15</f>
        <v>-73.204628929999998</v>
      </c>
      <c r="C12" s="74">
        <v>-584</v>
      </c>
      <c r="D12" s="178">
        <f>-'INCOME-I'!E15</f>
        <v>-25666.109613000001</v>
      </c>
      <c r="E12" s="275">
        <v>-110670.241784</v>
      </c>
    </row>
    <row r="13" spans="1:5" ht="15.75" x14ac:dyDescent="0.25">
      <c r="A13" s="98" t="s">
        <v>225</v>
      </c>
      <c r="B13" s="178">
        <f>'INCOME-I'!C17</f>
        <v>43.83186311</v>
      </c>
      <c r="C13" s="74">
        <v>126</v>
      </c>
      <c r="D13" s="178">
        <f>'INCOME-I'!E17</f>
        <v>2091.1008529999999</v>
      </c>
      <c r="E13" s="275">
        <v>9162.1514640000005</v>
      </c>
    </row>
    <row r="14" spans="1:5" ht="15.75" x14ac:dyDescent="0.25">
      <c r="A14" s="98" t="s">
        <v>226</v>
      </c>
      <c r="B14" s="178">
        <f>'INCOME-I'!C20</f>
        <v>4</v>
      </c>
      <c r="C14" s="74">
        <v>10</v>
      </c>
      <c r="D14" s="178">
        <f>'INCOME-I'!E20</f>
        <v>0</v>
      </c>
      <c r="E14" s="275">
        <v>323.10287</v>
      </c>
    </row>
    <row r="15" spans="1:5" s="118" customFormat="1" ht="15.75" x14ac:dyDescent="0.25">
      <c r="A15" s="98" t="s">
        <v>227</v>
      </c>
      <c r="B15" s="178">
        <f>-'INCOME-I'!C32</f>
        <v>-12</v>
      </c>
      <c r="C15" s="74">
        <v>-70</v>
      </c>
      <c r="D15" s="178">
        <f>-'INCOME-I'!E32</f>
        <v>-9393.5997609999995</v>
      </c>
      <c r="E15" s="275">
        <v>-37027.844104999996</v>
      </c>
    </row>
    <row r="16" spans="1:5" s="118" customFormat="1" ht="15.75" x14ac:dyDescent="0.25">
      <c r="A16" s="98" t="s">
        <v>228</v>
      </c>
      <c r="B16" s="178">
        <f>-('INCOME-I'!C36+'INCOME-I'!C37)</f>
        <v>-94.443079999999995</v>
      </c>
      <c r="C16" s="74">
        <v>-250</v>
      </c>
      <c r="D16" s="178">
        <f>-('INCOME-I'!E36+'INCOME-I'!E37)</f>
        <v>0</v>
      </c>
      <c r="E16" s="275">
        <v>0</v>
      </c>
    </row>
    <row r="17" spans="1:7" s="118" customFormat="1" ht="15.75" x14ac:dyDescent="0.25">
      <c r="A17" s="98" t="s">
        <v>229</v>
      </c>
      <c r="B17" s="178">
        <f>'INCOME-I'!C28</f>
        <v>2.110088685</v>
      </c>
      <c r="C17" s="74">
        <v>3</v>
      </c>
      <c r="D17" s="178">
        <f>'INCOME-I'!E28</f>
        <v>8827.5039489999999</v>
      </c>
      <c r="E17" s="275">
        <v>46104.929780999999</v>
      </c>
    </row>
    <row r="18" spans="1:7" s="118" customFormat="1" ht="15.75" x14ac:dyDescent="0.25">
      <c r="A18" s="98" t="s">
        <v>230</v>
      </c>
      <c r="B18" s="178">
        <f>-'INCOME-I'!C33-'INCOME-I'!C34-'INCOME-I'!C30</f>
        <v>86.300439971707789</v>
      </c>
      <c r="C18" s="74">
        <v>144</v>
      </c>
      <c r="D18" s="178">
        <v>-86094.55</v>
      </c>
      <c r="E18" s="275">
        <v>-86094.55</v>
      </c>
    </row>
    <row r="19" spans="1:7" s="118" customFormat="1" ht="16.5" thickBot="1" x14ac:dyDescent="0.3">
      <c r="A19" s="96" t="s">
        <v>231</v>
      </c>
      <c r="B19" s="144">
        <f>SUM(B11:B18)</f>
        <v>679.53727507170765</v>
      </c>
      <c r="C19" s="144">
        <v>1807</v>
      </c>
      <c r="D19" s="238">
        <f>SUM(D11:D18)</f>
        <v>-69604.002940000006</v>
      </c>
      <c r="E19" s="277">
        <v>-8547.1276069999876</v>
      </c>
    </row>
    <row r="20" spans="1:7" s="118" customFormat="1" ht="16.5" thickTop="1" x14ac:dyDescent="0.25">
      <c r="A20" s="98"/>
      <c r="B20" s="115"/>
      <c r="C20" s="115"/>
      <c r="D20" s="220"/>
      <c r="E20" s="220"/>
    </row>
    <row r="21" spans="1:7" s="118" customFormat="1" ht="15.75" x14ac:dyDescent="0.25">
      <c r="A21" s="96" t="s">
        <v>232</v>
      </c>
      <c r="B21" s="74"/>
      <c r="C21" s="74"/>
      <c r="D21" s="178"/>
      <c r="E21" s="178"/>
    </row>
    <row r="22" spans="1:7" s="118" customFormat="1" ht="15.75" x14ac:dyDescent="0.25">
      <c r="A22" s="98" t="s">
        <v>233</v>
      </c>
      <c r="B22" s="178">
        <f>'FINANCIAL POSITION'!C14-'FINANCIAL POSITION'!B14</f>
        <v>88</v>
      </c>
      <c r="C22" s="74">
        <v>0</v>
      </c>
      <c r="D22" s="178">
        <v>0</v>
      </c>
      <c r="E22" s="178">
        <v>0</v>
      </c>
    </row>
    <row r="23" spans="1:7" s="118" customFormat="1" ht="15.75" x14ac:dyDescent="0.25">
      <c r="A23" s="98" t="s">
        <v>234</v>
      </c>
      <c r="B23" s="178">
        <f>'FINANCIAL POSITION'!C21-'FINANCIAL POSITION'!B21</f>
        <v>-208</v>
      </c>
      <c r="C23" s="74">
        <v>0</v>
      </c>
      <c r="D23" s="178">
        <v>0</v>
      </c>
      <c r="E23" s="178">
        <v>0</v>
      </c>
    </row>
    <row r="24" spans="1:7" s="118" customFormat="1" ht="15.75" x14ac:dyDescent="0.25">
      <c r="A24" s="98" t="s">
        <v>235</v>
      </c>
      <c r="B24" s="288">
        <f>'FINANCIAL POSITION'!C22-'FINANCIAL POSITION'!B22+('FINANCIAL POSITION'!C31-'FINANCIAL POSITION'!B31)</f>
        <v>23060</v>
      </c>
      <c r="C24" s="74">
        <v>-2605.0240990000002</v>
      </c>
      <c r="D24" s="178">
        <f>+(52132551-91831395)/1000</f>
        <v>-39698.843999999997</v>
      </c>
      <c r="E24" s="275">
        <v>-39698.843999999997</v>
      </c>
    </row>
    <row r="25" spans="1:7" s="118" customFormat="1" ht="15.75" x14ac:dyDescent="0.25">
      <c r="A25" s="98"/>
      <c r="B25" s="178"/>
      <c r="C25" s="109"/>
      <c r="D25" s="176"/>
      <c r="E25" s="276"/>
    </row>
    <row r="26" spans="1:7" s="118" customFormat="1" ht="15.75" x14ac:dyDescent="0.25">
      <c r="A26" s="96" t="s">
        <v>236</v>
      </c>
      <c r="B26" s="109"/>
      <c r="C26" s="109"/>
      <c r="D26" s="176"/>
      <c r="E26" s="276"/>
    </row>
    <row r="27" spans="1:7" s="118" customFormat="1" ht="15.75" x14ac:dyDescent="0.25">
      <c r="A27" s="98" t="s">
        <v>237</v>
      </c>
      <c r="B27" s="176">
        <f>'FINANCIAL POSITION'!B40-'FINANCIAL POSITION'!C40</f>
        <v>358.52409860999978</v>
      </c>
      <c r="C27" s="109"/>
      <c r="D27" s="176">
        <v>0</v>
      </c>
      <c r="E27" s="276">
        <v>0</v>
      </c>
    </row>
    <row r="28" spans="1:7" s="118" customFormat="1" ht="15.75" x14ac:dyDescent="0.25">
      <c r="A28" s="120" t="s">
        <v>238</v>
      </c>
      <c r="B28" s="176">
        <v>0</v>
      </c>
      <c r="C28" s="109">
        <v>0</v>
      </c>
      <c r="D28" s="176">
        <v>0</v>
      </c>
      <c r="E28" s="276">
        <v>0</v>
      </c>
    </row>
    <row r="29" spans="1:7" s="118" customFormat="1" ht="15.75" x14ac:dyDescent="0.25">
      <c r="A29" s="98" t="s">
        <v>239</v>
      </c>
      <c r="B29" s="176">
        <f>'FINANCIAL POSITION'!B34-'FINANCIAL POSITION'!C34</f>
        <v>-1595</v>
      </c>
      <c r="C29" s="109"/>
      <c r="D29" s="176">
        <v>0</v>
      </c>
      <c r="E29" s="276">
        <v>0</v>
      </c>
    </row>
    <row r="30" spans="1:7" s="118" customFormat="1" ht="15.75" x14ac:dyDescent="0.25">
      <c r="A30" s="98" t="s">
        <v>240</v>
      </c>
      <c r="B30" s="291">
        <f>('FINANCIAL POSITION'!B47-'FINANCIAL POSITION'!C47)+('FINANCIAL POSITION'!B44-'FINANCIAL POSITION'!C44)+('FINANCIAL POSITION'!B45-'FINANCIAL POSITION'!C45)-81</f>
        <v>-42.615017469850628</v>
      </c>
      <c r="C30" s="109">
        <v>1555.3820000000001</v>
      </c>
      <c r="D30" s="176">
        <f>(91831395+2888029)/1000</f>
        <v>94719.423999999999</v>
      </c>
      <c r="E30" s="276">
        <v>94719.423999999999</v>
      </c>
      <c r="G30" s="199">
        <f>+E30+E24</f>
        <v>55020.58</v>
      </c>
    </row>
    <row r="31" spans="1:7" s="118" customFormat="1" ht="15.75" x14ac:dyDescent="0.25">
      <c r="A31" s="96" t="s">
        <v>241</v>
      </c>
      <c r="B31" s="109"/>
      <c r="C31" s="109"/>
      <c r="D31" s="176"/>
      <c r="E31" s="276"/>
    </row>
    <row r="32" spans="1:7" s="118" customFormat="1" ht="15.75" x14ac:dyDescent="0.25">
      <c r="A32" s="98"/>
      <c r="B32" s="109"/>
      <c r="C32" s="109"/>
      <c r="D32" s="176"/>
      <c r="E32" s="276"/>
    </row>
    <row r="33" spans="1:7" s="118" customFormat="1" ht="15.75" x14ac:dyDescent="0.25">
      <c r="A33" s="98" t="s">
        <v>242</v>
      </c>
      <c r="B33" s="176">
        <f>-(78214799)/1000000</f>
        <v>-78.214798999999999</v>
      </c>
      <c r="C33" s="109">
        <v>-313</v>
      </c>
      <c r="D33" s="176">
        <f>-1369461/1000</f>
        <v>-1369.461</v>
      </c>
      <c r="E33" s="276">
        <v>-1369.461</v>
      </c>
    </row>
    <row r="34" spans="1:7" s="118" customFormat="1" ht="16.5" thickBot="1" x14ac:dyDescent="0.3">
      <c r="A34" s="96" t="s">
        <v>243</v>
      </c>
      <c r="B34" s="147">
        <f>SUM(B19:B33)</f>
        <v>22262.231557211853</v>
      </c>
      <c r="C34" s="147">
        <v>444.35790099999986</v>
      </c>
      <c r="D34" s="239">
        <f>SUM(D19:D33)</f>
        <v>-15952.883940000003</v>
      </c>
      <c r="E34" s="278">
        <v>45103.991393000011</v>
      </c>
      <c r="G34" s="199">
        <f>+E30+E24+E33+E19</f>
        <v>45103.991393000011</v>
      </c>
    </row>
    <row r="35" spans="1:7" s="118" customFormat="1" ht="16.5" thickTop="1" x14ac:dyDescent="0.25">
      <c r="A35" s="96"/>
      <c r="B35" s="145"/>
      <c r="C35" s="145"/>
      <c r="D35" s="240"/>
      <c r="E35" s="240"/>
    </row>
    <row r="36" spans="1:7" ht="15.75" x14ac:dyDescent="0.25">
      <c r="A36" s="96" t="s">
        <v>132</v>
      </c>
      <c r="B36" s="146"/>
      <c r="C36" s="146"/>
      <c r="D36" s="241"/>
      <c r="E36" s="241"/>
    </row>
    <row r="37" spans="1:7" ht="15.75" x14ac:dyDescent="0.25">
      <c r="A37" s="98" t="s">
        <v>133</v>
      </c>
      <c r="B37" s="109">
        <v>0</v>
      </c>
      <c r="C37" s="109">
        <v>-1</v>
      </c>
      <c r="D37" s="176">
        <f>-666565/1000</f>
        <v>-666.56500000000005</v>
      </c>
      <c r="E37" s="276">
        <v>-666.56500000000005</v>
      </c>
    </row>
    <row r="38" spans="1:7" ht="15.75" x14ac:dyDescent="0.25">
      <c r="A38" s="98" t="s">
        <v>134</v>
      </c>
      <c r="B38" s="109">
        <v>0</v>
      </c>
      <c r="C38" s="109">
        <v>0</v>
      </c>
      <c r="D38" s="176">
        <f>187145/1000</f>
        <v>187.14500000000001</v>
      </c>
      <c r="E38" s="276">
        <v>187.14500000000001</v>
      </c>
    </row>
    <row r="39" spans="1:7" ht="15.75" x14ac:dyDescent="0.25">
      <c r="A39" s="98" t="s">
        <v>135</v>
      </c>
      <c r="B39" s="109">
        <v>0</v>
      </c>
      <c r="C39" s="109">
        <v>-33685</v>
      </c>
      <c r="D39" s="176">
        <v>0</v>
      </c>
      <c r="E39" s="276">
        <v>0</v>
      </c>
    </row>
    <row r="40" spans="1:7" ht="15.75" x14ac:dyDescent="0.25">
      <c r="A40" s="98" t="s">
        <v>136</v>
      </c>
      <c r="B40" s="109">
        <v>0</v>
      </c>
      <c r="C40" s="109">
        <v>0</v>
      </c>
      <c r="D40" s="176">
        <v>0</v>
      </c>
      <c r="E40" s="276">
        <v>0</v>
      </c>
    </row>
    <row r="41" spans="1:7" ht="15.75" x14ac:dyDescent="0.25">
      <c r="A41" s="98" t="s">
        <v>137</v>
      </c>
      <c r="B41" s="109">
        <v>0</v>
      </c>
      <c r="C41" s="109">
        <v>0</v>
      </c>
      <c r="D41" s="176">
        <v>0</v>
      </c>
      <c r="E41" s="276">
        <v>0</v>
      </c>
    </row>
    <row r="42" spans="1:7" ht="31.5" x14ac:dyDescent="0.25">
      <c r="A42" s="119" t="s">
        <v>245</v>
      </c>
      <c r="B42" s="109">
        <v>0</v>
      </c>
      <c r="C42" s="109">
        <v>0</v>
      </c>
      <c r="D42" s="176">
        <v>0</v>
      </c>
      <c r="E42" s="276">
        <v>0</v>
      </c>
    </row>
    <row r="43" spans="1:7" ht="31.5" x14ac:dyDescent="0.25">
      <c r="A43" s="119" t="s">
        <v>246</v>
      </c>
      <c r="B43" s="109">
        <v>0</v>
      </c>
      <c r="C43" s="109">
        <v>0</v>
      </c>
      <c r="D43" s="176">
        <v>0</v>
      </c>
      <c r="E43" s="276">
        <v>0</v>
      </c>
    </row>
    <row r="44" spans="1:7" ht="15.75" x14ac:dyDescent="0.25">
      <c r="A44" s="98" t="s">
        <v>138</v>
      </c>
      <c r="B44" s="109">
        <v>0</v>
      </c>
      <c r="C44" s="109">
        <v>2</v>
      </c>
      <c r="D44" s="176">
        <v>0</v>
      </c>
      <c r="E44" s="276">
        <v>0</v>
      </c>
    </row>
    <row r="45" spans="1:7" ht="15.75" x14ac:dyDescent="0.25">
      <c r="A45" s="98" t="s">
        <v>139</v>
      </c>
      <c r="B45" s="109">
        <v>0</v>
      </c>
      <c r="C45" s="109">
        <v>0</v>
      </c>
      <c r="D45" s="176">
        <v>0</v>
      </c>
      <c r="E45" s="276">
        <v>0</v>
      </c>
    </row>
    <row r="46" spans="1:7" ht="16.5" thickBot="1" x14ac:dyDescent="0.3">
      <c r="A46" s="96" t="s">
        <v>140</v>
      </c>
      <c r="B46" s="147">
        <f>SUM(B37:B45)</f>
        <v>0</v>
      </c>
      <c r="C46" s="147">
        <v>-33684</v>
      </c>
      <c r="D46" s="239">
        <f>SUM(D37:D45)</f>
        <v>-479.42000000000007</v>
      </c>
      <c r="E46" s="278">
        <v>-479.42000000000007</v>
      </c>
    </row>
    <row r="47" spans="1:7" s="118" customFormat="1" ht="16.5" thickTop="1" x14ac:dyDescent="0.25">
      <c r="A47" s="98"/>
      <c r="B47" s="148"/>
      <c r="C47" s="148"/>
      <c r="D47" s="242"/>
      <c r="E47" s="279"/>
    </row>
    <row r="48" spans="1:7" ht="15.75" x14ac:dyDescent="0.25">
      <c r="A48" s="96" t="s">
        <v>141</v>
      </c>
      <c r="B48" s="109"/>
      <c r="C48" s="109"/>
      <c r="D48" s="176"/>
      <c r="E48" s="276"/>
    </row>
    <row r="49" spans="1:7" ht="15.75" x14ac:dyDescent="0.25">
      <c r="A49" s="98" t="s">
        <v>142</v>
      </c>
      <c r="B49" s="109">
        <v>0</v>
      </c>
      <c r="C49" s="109">
        <v>0</v>
      </c>
      <c r="D49" s="176">
        <f>0/1000</f>
        <v>0</v>
      </c>
      <c r="E49" s="276">
        <v>0</v>
      </c>
    </row>
    <row r="50" spans="1:7" ht="15.75" x14ac:dyDescent="0.25">
      <c r="A50" s="98" t="s">
        <v>143</v>
      </c>
      <c r="B50" s="109">
        <v>0</v>
      </c>
      <c r="C50" s="109">
        <v>0</v>
      </c>
      <c r="D50" s="176">
        <v>0</v>
      </c>
      <c r="E50" s="276">
        <v>0</v>
      </c>
    </row>
    <row r="51" spans="1:7" ht="15.75" x14ac:dyDescent="0.25">
      <c r="A51" s="98" t="s">
        <v>144</v>
      </c>
      <c r="B51" s="109">
        <v>0</v>
      </c>
      <c r="C51" s="109">
        <v>0</v>
      </c>
      <c r="D51" s="176">
        <v>0</v>
      </c>
      <c r="E51" s="276">
        <v>0</v>
      </c>
    </row>
    <row r="52" spans="1:7" ht="15.75" x14ac:dyDescent="0.25">
      <c r="A52" s="98" t="s">
        <v>145</v>
      </c>
      <c r="B52" s="109">
        <v>0</v>
      </c>
      <c r="C52" s="109">
        <v>0</v>
      </c>
      <c r="D52" s="176">
        <v>0</v>
      </c>
      <c r="E52" s="276">
        <v>0</v>
      </c>
    </row>
    <row r="53" spans="1:7" ht="15.75" x14ac:dyDescent="0.25">
      <c r="A53" s="98" t="s">
        <v>146</v>
      </c>
      <c r="B53" s="109">
        <v>0</v>
      </c>
      <c r="C53" s="109">
        <v>0</v>
      </c>
      <c r="D53" s="176">
        <f>-3201582/1000</f>
        <v>-3201.5819999999999</v>
      </c>
      <c r="E53" s="276">
        <v>-3201.5819999999999</v>
      </c>
    </row>
    <row r="54" spans="1:7" ht="15.75" x14ac:dyDescent="0.25">
      <c r="A54" s="98" t="s">
        <v>147</v>
      </c>
      <c r="B54" s="109">
        <v>0</v>
      </c>
      <c r="C54" s="109">
        <v>0</v>
      </c>
      <c r="D54" s="176">
        <v>0</v>
      </c>
      <c r="E54" s="276">
        <v>0</v>
      </c>
    </row>
    <row r="55" spans="1:7" ht="15.75" x14ac:dyDescent="0.25">
      <c r="A55" s="98" t="s">
        <v>148</v>
      </c>
      <c r="B55" s="109">
        <v>0</v>
      </c>
      <c r="C55" s="109">
        <v>0</v>
      </c>
      <c r="D55" s="176">
        <v>0</v>
      </c>
      <c r="E55" s="276">
        <v>0</v>
      </c>
    </row>
    <row r="56" spans="1:7" ht="15.75" x14ac:dyDescent="0.25">
      <c r="A56" s="98" t="s">
        <v>149</v>
      </c>
      <c r="B56" s="109">
        <v>0</v>
      </c>
      <c r="C56" s="109">
        <v>0</v>
      </c>
      <c r="D56" s="176">
        <v>0</v>
      </c>
      <c r="E56" s="276">
        <v>0</v>
      </c>
    </row>
    <row r="57" spans="1:7" ht="15.75" x14ac:dyDescent="0.25">
      <c r="A57" s="98" t="s">
        <v>139</v>
      </c>
      <c r="B57" s="109">
        <v>0</v>
      </c>
      <c r="C57" s="109">
        <v>9892</v>
      </c>
      <c r="D57" s="176">
        <f>(-19670000+41000000)/1000</f>
        <v>21330</v>
      </c>
      <c r="E57" s="276">
        <v>21330</v>
      </c>
    </row>
    <row r="58" spans="1:7" ht="16.5" thickBot="1" x14ac:dyDescent="0.3">
      <c r="A58" s="96" t="s">
        <v>244</v>
      </c>
      <c r="B58" s="147">
        <f>SUM(B49:B57)</f>
        <v>0</v>
      </c>
      <c r="C58" s="147">
        <v>9892</v>
      </c>
      <c r="D58" s="239">
        <f>SUM(D49:D57)</f>
        <v>18128.418000000001</v>
      </c>
      <c r="E58" s="278">
        <v>18128.418000000001</v>
      </c>
    </row>
    <row r="59" spans="1:7" ht="16.5" thickTop="1" x14ac:dyDescent="0.25">
      <c r="A59" s="96"/>
      <c r="B59" s="148"/>
      <c r="C59" s="148"/>
      <c r="D59" s="242"/>
      <c r="E59" s="279"/>
    </row>
    <row r="60" spans="1:7" ht="15.75" x14ac:dyDescent="0.25">
      <c r="A60" s="96" t="s">
        <v>150</v>
      </c>
      <c r="B60" s="146">
        <f>+B34+B46+B58</f>
        <v>22262.231557211853</v>
      </c>
      <c r="C60" s="146">
        <v>-23347.642098999997</v>
      </c>
      <c r="D60" s="241">
        <f>67156815/1000</f>
        <v>67156.815000000002</v>
      </c>
      <c r="E60" s="280">
        <v>67156.815000000002</v>
      </c>
    </row>
    <row r="61" spans="1:7" ht="15.75" x14ac:dyDescent="0.25">
      <c r="A61" s="98" t="s">
        <v>151</v>
      </c>
      <c r="B61" s="109">
        <f>+C63</f>
        <v>2864.357901000003</v>
      </c>
      <c r="C61" s="109">
        <v>26064</v>
      </c>
      <c r="D61" s="176">
        <f>(31552213+209054344)/1000</f>
        <v>240606.557</v>
      </c>
      <c r="E61" s="276">
        <v>240606.557</v>
      </c>
    </row>
    <row r="62" spans="1:7" ht="15.75" x14ac:dyDescent="0.25">
      <c r="A62" s="98" t="s">
        <v>152</v>
      </c>
      <c r="B62" s="109">
        <v>0</v>
      </c>
      <c r="C62" s="109">
        <v>148</v>
      </c>
      <c r="D62" s="176">
        <v>0</v>
      </c>
      <c r="E62" s="276">
        <v>0</v>
      </c>
      <c r="G62" s="198"/>
    </row>
    <row r="63" spans="1:7" ht="16.5" thickBot="1" x14ac:dyDescent="0.3">
      <c r="A63" s="96" t="s">
        <v>153</v>
      </c>
      <c r="B63" s="147">
        <f>SUM(B60:B62)</f>
        <v>25126.589458211856</v>
      </c>
      <c r="C63" s="147">
        <v>2864.357901000003</v>
      </c>
      <c r="D63" s="239">
        <f>SUM(D60:D62)</f>
        <v>307763.37199999997</v>
      </c>
      <c r="E63" s="278">
        <v>307763.37199999997</v>
      </c>
      <c r="G63" s="198"/>
    </row>
    <row r="64" spans="1:7" ht="15.75" thickTop="1" x14ac:dyDescent="0.25">
      <c r="B64" s="183"/>
      <c r="D64" s="243"/>
      <c r="E64" s="244"/>
      <c r="G64" s="198"/>
    </row>
    <row r="65" spans="2:5" x14ac:dyDescent="0.25">
      <c r="B65" s="183"/>
      <c r="D65" s="243"/>
      <c r="E65" s="243"/>
    </row>
    <row r="66" spans="2:5" x14ac:dyDescent="0.25">
      <c r="B66" s="197"/>
      <c r="D66" s="243"/>
      <c r="E66" s="243"/>
    </row>
  </sheetData>
  <mergeCells count="6">
    <mergeCell ref="D5:E5"/>
    <mergeCell ref="A4:C4"/>
    <mergeCell ref="B5:C5"/>
    <mergeCell ref="A1:C1"/>
    <mergeCell ref="A2:C2"/>
    <mergeCell ref="A3:C3"/>
  </mergeCells>
  <pageMargins left="0.51" right="0.17" top="0.45" bottom="0.34" header="0.3" footer="0.18"/>
  <pageSetup paperSize="9"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zoomScale="70" zoomScaleNormal="70" workbookViewId="0">
      <selection activeCell="D8" sqref="D8"/>
    </sheetView>
  </sheetViews>
  <sheetFormatPr defaultColWidth="9.140625" defaultRowHeight="15.75" x14ac:dyDescent="0.25"/>
  <cols>
    <col min="1" max="1" width="62.140625" style="70" customWidth="1"/>
    <col min="2" max="2" width="14" style="70" customWidth="1"/>
    <col min="3" max="3" width="14.28515625" style="70" customWidth="1"/>
    <col min="4" max="4" width="13.42578125" style="70" customWidth="1"/>
    <col min="5" max="5" width="12.5703125" style="70" customWidth="1"/>
    <col min="6" max="16384" width="9.140625" style="70"/>
  </cols>
  <sheetData>
    <row r="1" spans="1:5" x14ac:dyDescent="0.25">
      <c r="A1" s="351" t="s">
        <v>21</v>
      </c>
      <c r="B1" s="351"/>
      <c r="C1" s="351"/>
      <c r="D1" s="351"/>
      <c r="E1" s="351"/>
    </row>
    <row r="2" spans="1:5" x14ac:dyDescent="0.25">
      <c r="A2" s="351" t="s">
        <v>247</v>
      </c>
      <c r="B2" s="351"/>
      <c r="C2" s="351"/>
      <c r="D2" s="351"/>
      <c r="E2" s="351"/>
    </row>
    <row r="3" spans="1:5" x14ac:dyDescent="0.25">
      <c r="A3" s="351" t="s">
        <v>352</v>
      </c>
      <c r="B3" s="351"/>
      <c r="C3" s="351"/>
      <c r="D3" s="351"/>
      <c r="E3" s="351"/>
    </row>
    <row r="4" spans="1:5" ht="8.25" customHeight="1" x14ac:dyDescent="0.25"/>
    <row r="5" spans="1:5" x14ac:dyDescent="0.25">
      <c r="A5" s="353" t="s">
        <v>157</v>
      </c>
      <c r="B5" s="347" t="s">
        <v>16</v>
      </c>
      <c r="C5" s="347"/>
      <c r="D5" s="347" t="s">
        <v>25</v>
      </c>
      <c r="E5" s="347"/>
    </row>
    <row r="6" spans="1:5" x14ac:dyDescent="0.25">
      <c r="A6" s="354"/>
      <c r="B6" s="196" t="s">
        <v>352</v>
      </c>
      <c r="C6" s="274" t="s">
        <v>343</v>
      </c>
      <c r="D6" s="274" t="s">
        <v>352</v>
      </c>
      <c r="E6" s="274" t="s">
        <v>343</v>
      </c>
    </row>
    <row r="7" spans="1:5" ht="45.75" customHeight="1" x14ac:dyDescent="0.25">
      <c r="A7" s="355"/>
      <c r="B7" s="88" t="s">
        <v>363</v>
      </c>
      <c r="C7" s="88" t="s">
        <v>154</v>
      </c>
      <c r="D7" s="88" t="s">
        <v>364</v>
      </c>
      <c r="E7" s="88" t="s">
        <v>123</v>
      </c>
    </row>
    <row r="8" spans="1:5" x14ac:dyDescent="0.25">
      <c r="A8" s="96" t="s">
        <v>248</v>
      </c>
      <c r="B8" s="88"/>
      <c r="C8" s="88"/>
      <c r="D8" s="88"/>
      <c r="E8" s="88"/>
    </row>
    <row r="9" spans="1:5" x14ac:dyDescent="0.25">
      <c r="A9" s="98" t="s">
        <v>249</v>
      </c>
      <c r="B9" s="72">
        <v>11374.222208715999</v>
      </c>
      <c r="C9" s="72">
        <v>11372.939</v>
      </c>
      <c r="D9" s="292">
        <v>146622.23000000001</v>
      </c>
      <c r="E9" s="293">
        <v>144622.01999999999</v>
      </c>
    </row>
    <row r="10" spans="1:5" x14ac:dyDescent="0.25">
      <c r="A10" s="98" t="s">
        <v>250</v>
      </c>
      <c r="B10" s="72">
        <v>11374.222208715999</v>
      </c>
      <c r="C10" s="72">
        <v>11372.939</v>
      </c>
      <c r="D10" s="292">
        <v>146622.23000000001</v>
      </c>
      <c r="E10" s="293">
        <v>144622.01999999999</v>
      </c>
    </row>
    <row r="11" spans="1:5" x14ac:dyDescent="0.25">
      <c r="A11" s="98" t="s">
        <v>251</v>
      </c>
      <c r="B11" s="72">
        <v>11488.204486205999</v>
      </c>
      <c r="C11" s="72">
        <v>11485.876</v>
      </c>
      <c r="D11" s="283">
        <v>175044</v>
      </c>
      <c r="E11" s="72">
        <v>171577</v>
      </c>
    </row>
    <row r="12" spans="1:5" x14ac:dyDescent="0.25">
      <c r="A12" s="98"/>
      <c r="B12" s="72"/>
      <c r="C12" s="72"/>
      <c r="D12" s="283"/>
      <c r="E12" s="72"/>
    </row>
    <row r="13" spans="1:5" x14ac:dyDescent="0.25">
      <c r="A13" s="96" t="s">
        <v>252</v>
      </c>
      <c r="B13" s="72"/>
      <c r="C13" s="72"/>
      <c r="D13" s="283"/>
      <c r="E13" s="72"/>
    </row>
    <row r="14" spans="1:5" x14ac:dyDescent="0.25">
      <c r="A14" s="98" t="s">
        <v>314</v>
      </c>
      <c r="B14" s="90">
        <v>0.50329224936244776</v>
      </c>
      <c r="C14" s="90">
        <v>0.54200260530318678</v>
      </c>
      <c r="D14" s="284">
        <v>0.12959999999999999</v>
      </c>
      <c r="E14" s="90">
        <v>0.12909999999999999</v>
      </c>
    </row>
    <row r="15" spans="1:5" x14ac:dyDescent="0.25">
      <c r="A15" s="98" t="s">
        <v>313</v>
      </c>
      <c r="B15" s="90">
        <v>0.50329224936244776</v>
      </c>
      <c r="C15" s="90">
        <v>0.54200260530318678</v>
      </c>
      <c r="D15" s="284">
        <v>0.12959999999999999</v>
      </c>
      <c r="E15" s="90">
        <v>0.12909999999999999</v>
      </c>
    </row>
    <row r="16" spans="1:5" x14ac:dyDescent="0.25">
      <c r="A16" s="98" t="s">
        <v>315</v>
      </c>
      <c r="B16" s="90">
        <v>0.5083357939470996</v>
      </c>
      <c r="C16" s="90">
        <v>0.54738485208963661</v>
      </c>
      <c r="D16" s="284">
        <v>0.15479999999999999</v>
      </c>
      <c r="E16" s="284">
        <v>0.1532</v>
      </c>
    </row>
    <row r="17" spans="1:5" x14ac:dyDescent="0.25">
      <c r="A17" s="98"/>
      <c r="B17" s="90"/>
      <c r="C17" s="90"/>
      <c r="D17" s="284"/>
      <c r="E17" s="90"/>
    </row>
    <row r="18" spans="1:5" ht="20.25" customHeight="1" x14ac:dyDescent="0.25">
      <c r="A18" s="96" t="s">
        <v>323</v>
      </c>
      <c r="B18" s="90">
        <v>0.18658852577956611</v>
      </c>
      <c r="C18" s="90">
        <v>0.18466096690504286</v>
      </c>
      <c r="D18" s="294">
        <v>5.1900000000000002E-2</v>
      </c>
      <c r="E18" s="90">
        <v>5.2200000000000003E-2</v>
      </c>
    </row>
    <row r="19" spans="1:5" x14ac:dyDescent="0.25">
      <c r="A19" s="98"/>
      <c r="B19" s="179"/>
      <c r="C19" s="179"/>
      <c r="D19" s="71"/>
      <c r="E19" s="71"/>
    </row>
    <row r="20" spans="1:5" x14ac:dyDescent="0.25">
      <c r="A20" s="96" t="s">
        <v>94</v>
      </c>
      <c r="B20" s="71"/>
      <c r="C20" s="71"/>
      <c r="D20" s="71"/>
      <c r="E20" s="71"/>
    </row>
    <row r="21" spans="1:5" x14ac:dyDescent="0.25">
      <c r="A21" s="98" t="s">
        <v>362</v>
      </c>
      <c r="B21" s="72">
        <f>+(18699469.1595943+148630.980086*200)/1000</f>
        <v>48425.665176794304</v>
      </c>
      <c r="C21" s="72">
        <v>48803.675493639697</v>
      </c>
      <c r="D21" s="283">
        <v>874169</v>
      </c>
      <c r="E21" s="72">
        <v>888071</v>
      </c>
    </row>
    <row r="22" spans="1:5" x14ac:dyDescent="0.25">
      <c r="A22" s="98" t="s">
        <v>316</v>
      </c>
      <c r="B22" s="72"/>
      <c r="C22" s="72"/>
      <c r="D22" s="72"/>
      <c r="E22" s="72"/>
    </row>
    <row r="23" spans="1:5" x14ac:dyDescent="0.25">
      <c r="A23" s="98" t="s">
        <v>95</v>
      </c>
      <c r="B23" s="295">
        <v>1.0978311676537549</v>
      </c>
      <c r="C23" s="90">
        <v>1.4367087162390504</v>
      </c>
      <c r="D23" s="356">
        <v>0.24990000000000001</v>
      </c>
      <c r="E23" s="358" t="s">
        <v>346</v>
      </c>
    </row>
    <row r="24" spans="1:5" x14ac:dyDescent="0.25">
      <c r="A24" s="98" t="s">
        <v>96</v>
      </c>
      <c r="B24" s="90">
        <v>0.94758136654064629</v>
      </c>
      <c r="C24" s="90">
        <v>0.93562481188267066</v>
      </c>
      <c r="D24" s="357"/>
      <c r="E24" s="359"/>
    </row>
    <row r="25" spans="1:5" x14ac:dyDescent="0.25">
      <c r="A25" s="98"/>
      <c r="B25" s="90"/>
      <c r="C25" s="90"/>
      <c r="D25" s="71"/>
      <c r="E25" s="71"/>
    </row>
    <row r="26" spans="1:5" x14ac:dyDescent="0.25">
      <c r="A26" s="98" t="s">
        <v>317</v>
      </c>
      <c r="B26" s="109">
        <f>5744512.79516/1000</f>
        <v>5744.5127951599998</v>
      </c>
      <c r="C26" s="109">
        <v>5438.5291364700006</v>
      </c>
      <c r="D26" s="176">
        <v>622086.6</v>
      </c>
      <c r="E26" s="109">
        <v>636519.69999999995</v>
      </c>
    </row>
    <row r="27" spans="1:5" x14ac:dyDescent="0.25">
      <c r="A27" s="98" t="s">
        <v>318</v>
      </c>
      <c r="B27" s="90"/>
      <c r="C27" s="90"/>
      <c r="D27" s="71"/>
      <c r="E27" s="71"/>
    </row>
    <row r="28" spans="1:5" x14ac:dyDescent="0.25">
      <c r="A28" s="98" t="s">
        <v>319</v>
      </c>
      <c r="B28" s="90">
        <v>51.5022715047593</v>
      </c>
      <c r="C28" s="90">
        <v>76.178501403768394</v>
      </c>
      <c r="D28" s="71"/>
      <c r="E28" s="71"/>
    </row>
    <row r="29" spans="1:5" x14ac:dyDescent="0.25">
      <c r="A29" s="98" t="s">
        <v>320</v>
      </c>
      <c r="B29" s="90">
        <v>8.0570134957453607</v>
      </c>
      <c r="C29" s="90">
        <v>8.2763454562246501</v>
      </c>
      <c r="D29" s="296">
        <v>1.6633</v>
      </c>
      <c r="E29" s="296">
        <v>1.6891</v>
      </c>
    </row>
    <row r="30" spans="1:5" x14ac:dyDescent="0.25">
      <c r="A30" s="98"/>
      <c r="B30" s="90"/>
      <c r="C30" s="90"/>
      <c r="D30" s="71"/>
      <c r="E30" s="71"/>
    </row>
    <row r="31" spans="1:5" x14ac:dyDescent="0.25">
      <c r="A31" s="98" t="s">
        <v>331</v>
      </c>
      <c r="B31" s="90">
        <v>6</v>
      </c>
      <c r="C31" s="90">
        <v>5.9770337434514502</v>
      </c>
      <c r="D31" s="297" t="s">
        <v>321</v>
      </c>
      <c r="E31" s="298" t="s">
        <v>321</v>
      </c>
    </row>
    <row r="32" spans="1:5" x14ac:dyDescent="0.25">
      <c r="A32" s="98"/>
      <c r="B32" s="90"/>
      <c r="C32" s="90"/>
      <c r="D32" s="71"/>
      <c r="E32" s="71"/>
    </row>
    <row r="33" spans="1:5" x14ac:dyDescent="0.25">
      <c r="A33" s="96" t="s">
        <v>92</v>
      </c>
      <c r="B33" s="71"/>
      <c r="C33" s="71"/>
      <c r="D33" s="71"/>
      <c r="E33" s="71"/>
    </row>
    <row r="34" spans="1:5" x14ac:dyDescent="0.25">
      <c r="A34" s="98" t="s">
        <v>253</v>
      </c>
      <c r="B34" s="299">
        <v>1.3739160269745093E-2</v>
      </c>
      <c r="C34" s="299">
        <v>1.3908796922578369E-2</v>
      </c>
      <c r="D34" s="296">
        <v>0.1148</v>
      </c>
      <c r="E34" s="90">
        <v>0.1169</v>
      </c>
    </row>
    <row r="35" spans="1:5" x14ac:dyDescent="0.25">
      <c r="A35" s="98" t="s">
        <v>254</v>
      </c>
      <c r="B35" s="299">
        <v>0</v>
      </c>
      <c r="C35" s="299">
        <v>1.2788253441955565E-3</v>
      </c>
      <c r="D35" s="300">
        <v>3.15E-2</v>
      </c>
      <c r="E35" s="300">
        <v>3.5799999999999998E-2</v>
      </c>
    </row>
    <row r="36" spans="1:5" x14ac:dyDescent="0.25">
      <c r="A36" s="98"/>
      <c r="B36" s="71"/>
      <c r="C36" s="71"/>
      <c r="D36" s="71"/>
      <c r="E36" s="71"/>
    </row>
    <row r="37" spans="1:5" x14ac:dyDescent="0.25">
      <c r="A37" s="96" t="s">
        <v>93</v>
      </c>
      <c r="B37" s="71"/>
      <c r="C37" s="71"/>
      <c r="D37" s="71"/>
      <c r="E37" s="71"/>
    </row>
    <row r="38" spans="1:5" x14ac:dyDescent="0.25">
      <c r="A38" s="98" t="s">
        <v>257</v>
      </c>
      <c r="B38" s="90">
        <v>1.4782240385097746E-2</v>
      </c>
      <c r="C38" s="90">
        <v>4.7774048243926476E-2</v>
      </c>
      <c r="D38" s="296">
        <v>2.3400000000000001E-2</v>
      </c>
      <c r="E38" s="90">
        <v>2.3900000000000001E-2</v>
      </c>
    </row>
    <row r="39" spans="1:5" x14ac:dyDescent="0.25">
      <c r="A39" s="98" t="s">
        <v>255</v>
      </c>
      <c r="B39" s="90">
        <v>1.5459565878115318E-2</v>
      </c>
      <c r="C39" s="90">
        <v>4.6815458338815154E-2</v>
      </c>
      <c r="D39" s="90">
        <v>4.5999999999999999E-3</v>
      </c>
      <c r="E39" s="90">
        <v>3.0999999999999999E-3</v>
      </c>
    </row>
    <row r="40" spans="1:5" x14ac:dyDescent="0.25">
      <c r="A40" s="98" t="s">
        <v>256</v>
      </c>
      <c r="B40" s="90">
        <v>7.5274175264943302E-2</v>
      </c>
      <c r="C40" s="90">
        <v>0.21747430671823342</v>
      </c>
      <c r="D40" s="90">
        <v>0.1457</v>
      </c>
      <c r="E40" s="71" t="s">
        <v>347</v>
      </c>
    </row>
    <row r="41" spans="1:5" ht="15.75" customHeight="1" x14ac:dyDescent="0.25">
      <c r="A41" s="245"/>
      <c r="B41" s="107"/>
      <c r="C41" s="107"/>
      <c r="D41" s="107"/>
      <c r="E41" s="107"/>
    </row>
    <row r="42" spans="1:5" hidden="1" x14ac:dyDescent="0.25">
      <c r="A42" s="246" t="s">
        <v>125</v>
      </c>
      <c r="B42" s="247"/>
      <c r="C42" s="247"/>
      <c r="D42" s="110"/>
      <c r="E42" s="110"/>
    </row>
    <row r="43" spans="1:5" hidden="1" x14ac:dyDescent="0.25">
      <c r="A43" s="246"/>
      <c r="B43" s="247"/>
      <c r="C43" s="247"/>
      <c r="D43" s="110"/>
      <c r="E43" s="110"/>
    </row>
    <row r="44" spans="1:5" ht="126.75" hidden="1" customHeight="1" x14ac:dyDescent="0.25">
      <c r="A44" s="352" t="s">
        <v>155</v>
      </c>
      <c r="B44" s="352"/>
      <c r="C44" s="352"/>
      <c r="D44" s="352"/>
      <c r="E44" s="352"/>
    </row>
    <row r="45" spans="1:5" hidden="1" x14ac:dyDescent="0.25">
      <c r="A45" s="111"/>
      <c r="B45" s="111"/>
      <c r="C45" s="111"/>
      <c r="D45" s="111"/>
      <c r="E45" s="111"/>
    </row>
    <row r="46" spans="1:5" hidden="1" x14ac:dyDescent="0.25">
      <c r="A46" s="245" t="s">
        <v>126</v>
      </c>
      <c r="B46" s="107"/>
      <c r="C46" s="107"/>
      <c r="D46" s="107"/>
      <c r="E46" s="107"/>
    </row>
    <row r="47" spans="1:5" hidden="1" x14ac:dyDescent="0.25">
      <c r="A47" s="245"/>
      <c r="B47" s="107"/>
      <c r="C47" s="107"/>
      <c r="D47" s="107"/>
      <c r="E47" s="107"/>
    </row>
    <row r="48" spans="1:5" ht="192.75" hidden="1" customHeight="1" x14ac:dyDescent="0.25">
      <c r="A48" s="348" t="s">
        <v>161</v>
      </c>
      <c r="B48" s="348"/>
      <c r="C48" s="348"/>
      <c r="D48" s="348"/>
      <c r="E48" s="348"/>
    </row>
    <row r="49" spans="1:5" hidden="1" x14ac:dyDescent="0.25">
      <c r="A49" s="248"/>
      <c r="B49" s="111"/>
      <c r="C49" s="111"/>
      <c r="D49" s="111"/>
      <c r="E49" s="111"/>
    </row>
    <row r="50" spans="1:5" hidden="1" x14ac:dyDescent="0.25">
      <c r="A50" s="246" t="s">
        <v>125</v>
      </c>
      <c r="B50" s="247"/>
      <c r="C50" s="247"/>
      <c r="D50" s="110"/>
      <c r="E50" s="110"/>
    </row>
    <row r="51" spans="1:5" ht="147.75" hidden="1" customHeight="1" x14ac:dyDescent="0.25">
      <c r="A51" s="352" t="s">
        <v>348</v>
      </c>
      <c r="B51" s="352"/>
      <c r="C51" s="352"/>
      <c r="D51" s="352"/>
      <c r="E51" s="352"/>
    </row>
    <row r="52" spans="1:5" ht="20.25" hidden="1" customHeight="1" x14ac:dyDescent="0.25"/>
    <row r="53" spans="1:5" ht="9" hidden="1" customHeight="1" x14ac:dyDescent="0.25">
      <c r="A53" s="111"/>
      <c r="B53" s="111"/>
      <c r="C53" s="111"/>
      <c r="D53" s="111"/>
      <c r="E53" s="111"/>
    </row>
    <row r="54" spans="1:5" hidden="1" x14ac:dyDescent="0.25">
      <c r="A54" s="245" t="s">
        <v>126</v>
      </c>
      <c r="B54" s="107"/>
      <c r="C54" s="107"/>
      <c r="D54" s="107"/>
      <c r="E54" s="107"/>
    </row>
    <row r="55" spans="1:5" hidden="1" x14ac:dyDescent="0.25">
      <c r="A55" s="245"/>
      <c r="B55" s="107"/>
      <c r="C55" s="107"/>
      <c r="D55" s="107"/>
      <c r="E55" s="107"/>
    </row>
    <row r="56" spans="1:5" ht="201" hidden="1" customHeight="1" x14ac:dyDescent="0.25">
      <c r="A56" s="348" t="s">
        <v>349</v>
      </c>
      <c r="B56" s="348"/>
      <c r="C56" s="348"/>
      <c r="D56" s="348"/>
      <c r="E56" s="348"/>
    </row>
    <row r="57" spans="1:5" x14ac:dyDescent="0.25">
      <c r="A57" s="248"/>
      <c r="B57" s="111"/>
      <c r="C57" s="111"/>
      <c r="D57" s="111"/>
      <c r="E57" s="111"/>
    </row>
    <row r="58" spans="1:5" ht="15" customHeight="1" x14ac:dyDescent="0.25">
      <c r="A58" s="245" t="s">
        <v>113</v>
      </c>
      <c r="B58" s="112"/>
      <c r="C58" s="112"/>
      <c r="D58" s="112"/>
      <c r="E58" s="112"/>
    </row>
    <row r="59" spans="1:5" ht="81.75" customHeight="1" x14ac:dyDescent="0.25">
      <c r="A59" s="352" t="s">
        <v>128</v>
      </c>
      <c r="B59" s="360"/>
      <c r="C59" s="360"/>
      <c r="D59" s="360"/>
      <c r="E59" s="360"/>
    </row>
    <row r="60" spans="1:5" ht="31.5" customHeight="1" x14ac:dyDescent="0.25">
      <c r="A60" s="348" t="s">
        <v>360</v>
      </c>
      <c r="B60" s="349"/>
      <c r="C60" s="349"/>
      <c r="D60" s="349"/>
      <c r="E60" s="349"/>
    </row>
    <row r="61" spans="1:5" x14ac:dyDescent="0.25">
      <c r="A61" s="248"/>
      <c r="B61" s="111"/>
      <c r="C61" s="111"/>
      <c r="D61" s="111"/>
      <c r="E61" s="111"/>
    </row>
    <row r="62" spans="1:5" x14ac:dyDescent="0.25">
      <c r="A62" s="248"/>
      <c r="B62" s="111"/>
      <c r="C62" s="111"/>
      <c r="D62" s="111"/>
      <c r="E62" s="111"/>
    </row>
    <row r="63" spans="1:5" x14ac:dyDescent="0.25">
      <c r="A63" s="248"/>
      <c r="B63" s="111"/>
      <c r="C63" s="111"/>
      <c r="D63" s="111"/>
      <c r="E63" s="111"/>
    </row>
    <row r="64" spans="1:5" x14ac:dyDescent="0.25">
      <c r="A64" s="249" t="s">
        <v>334</v>
      </c>
      <c r="B64" s="250"/>
      <c r="C64" s="250"/>
      <c r="D64" s="350" t="s">
        <v>359</v>
      </c>
      <c r="E64" s="350"/>
    </row>
    <row r="65" spans="1:4" x14ac:dyDescent="0.25">
      <c r="A65" s="70" t="s">
        <v>160</v>
      </c>
      <c r="B65" s="249"/>
      <c r="D65" s="70" t="s">
        <v>127</v>
      </c>
    </row>
    <row r="66" spans="1:4" x14ac:dyDescent="0.25">
      <c r="A66" s="192" t="s">
        <v>361</v>
      </c>
      <c r="D66" s="192" t="s">
        <v>361</v>
      </c>
    </row>
  </sheetData>
  <mergeCells count="15">
    <mergeCell ref="A60:E60"/>
    <mergeCell ref="A48:E48"/>
    <mergeCell ref="D64:E64"/>
    <mergeCell ref="A1:E1"/>
    <mergeCell ref="A2:E2"/>
    <mergeCell ref="A3:E3"/>
    <mergeCell ref="A44:E44"/>
    <mergeCell ref="B5:C5"/>
    <mergeCell ref="D5:E5"/>
    <mergeCell ref="A5:A7"/>
    <mergeCell ref="D23:D24"/>
    <mergeCell ref="E23:E24"/>
    <mergeCell ref="A51:E51"/>
    <mergeCell ref="A56:E56"/>
    <mergeCell ref="A59:E59"/>
  </mergeCells>
  <phoneticPr fontId="0" type="noConversion"/>
  <pageMargins left="0.39" right="0.17" top="0.46" bottom="0.56999999999999995" header="0.3" footer="0.3"/>
  <pageSetup paperSize="9"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43"/>
  <sheetViews>
    <sheetView view="pageBreakPreview" zoomScaleNormal="100" zoomScaleSheetLayoutView="100" workbookViewId="0">
      <selection activeCell="B87" sqref="B87"/>
    </sheetView>
  </sheetViews>
  <sheetFormatPr defaultColWidth="9.140625" defaultRowHeight="15.75" x14ac:dyDescent="0.25"/>
  <cols>
    <col min="1" max="1" width="40.5703125" style="3" customWidth="1"/>
    <col min="2" max="2" width="14.28515625" style="3" customWidth="1"/>
    <col min="3" max="3" width="16.5703125" style="3" customWidth="1"/>
    <col min="4" max="4" width="14" style="3" bestFit="1" customWidth="1"/>
    <col min="5" max="5" width="16.7109375" style="3" customWidth="1"/>
    <col min="6" max="6" width="16.140625" style="3" customWidth="1"/>
    <col min="7" max="7" width="18.28515625" style="3" customWidth="1"/>
    <col min="8" max="8" width="15.5703125" style="3" customWidth="1"/>
    <col min="9" max="9" width="24.5703125" style="3" customWidth="1"/>
    <col min="10" max="16384" width="9.140625" style="3"/>
  </cols>
  <sheetData>
    <row r="1" spans="1:10" x14ac:dyDescent="0.25">
      <c r="A1" s="333" t="s">
        <v>21</v>
      </c>
      <c r="B1" s="334"/>
      <c r="C1" s="334"/>
      <c r="D1" s="334"/>
      <c r="E1" s="334"/>
      <c r="F1" s="121"/>
      <c r="G1" s="121"/>
      <c r="H1" s="121"/>
      <c r="I1" s="121"/>
      <c r="J1" s="4"/>
    </row>
    <row r="2" spans="1:10" x14ac:dyDescent="0.25">
      <c r="A2" s="336" t="s">
        <v>112</v>
      </c>
      <c r="B2" s="337"/>
      <c r="C2" s="337"/>
      <c r="D2" s="337"/>
      <c r="E2" s="337"/>
      <c r="F2" s="42"/>
      <c r="G2" s="42"/>
      <c r="H2" s="42"/>
      <c r="I2" s="42"/>
      <c r="J2" s="4"/>
    </row>
    <row r="3" spans="1:10" x14ac:dyDescent="0.25">
      <c r="A3" s="336" t="s">
        <v>353</v>
      </c>
      <c r="B3" s="337"/>
      <c r="C3" s="337"/>
      <c r="D3" s="337"/>
      <c r="E3" s="337"/>
      <c r="F3" s="42"/>
      <c r="G3" s="42"/>
      <c r="H3" s="42"/>
      <c r="I3" s="42"/>
    </row>
    <row r="4" spans="1:10" x14ac:dyDescent="0.25">
      <c r="A4" s="122"/>
      <c r="B4" s="42"/>
      <c r="C4" s="42"/>
      <c r="D4" s="42"/>
      <c r="E4" s="42"/>
      <c r="F4" s="42"/>
      <c r="G4" s="42"/>
      <c r="H4" s="42"/>
      <c r="I4" s="42"/>
      <c r="J4" s="4"/>
    </row>
    <row r="5" spans="1:10" s="70" customFormat="1" x14ac:dyDescent="0.25">
      <c r="A5" s="127" t="s">
        <v>84</v>
      </c>
      <c r="B5" s="127"/>
      <c r="C5" s="127"/>
      <c r="D5" s="127"/>
      <c r="E5" s="127"/>
    </row>
    <row r="6" spans="1:10" x14ac:dyDescent="0.25">
      <c r="A6" s="55" t="s">
        <v>178</v>
      </c>
      <c r="B6" s="52" t="s">
        <v>261</v>
      </c>
      <c r="C6" s="52" t="s">
        <v>262</v>
      </c>
      <c r="D6" s="52" t="s">
        <v>263</v>
      </c>
      <c r="E6" s="52" t="s">
        <v>82</v>
      </c>
      <c r="I6" s="4"/>
    </row>
    <row r="7" spans="1:10" x14ac:dyDescent="0.25">
      <c r="A7" s="56"/>
      <c r="B7" s="54"/>
      <c r="C7" s="54"/>
      <c r="D7" s="54"/>
      <c r="E7" s="54"/>
      <c r="I7" s="4"/>
    </row>
    <row r="8" spans="1:10" x14ac:dyDescent="0.25">
      <c r="A8" s="18" t="s">
        <v>85</v>
      </c>
      <c r="B8" s="19"/>
      <c r="C8" s="19"/>
      <c r="D8" s="19"/>
      <c r="E8" s="19"/>
      <c r="H8" s="4"/>
    </row>
    <row r="9" spans="1:10" x14ac:dyDescent="0.25">
      <c r="A9" s="19" t="s">
        <v>86</v>
      </c>
      <c r="B9" s="20">
        <f>+'FINANCIAL POSITION'!B13</f>
        <v>25126.84268215908</v>
      </c>
      <c r="C9" s="20">
        <v>0</v>
      </c>
      <c r="D9" s="20">
        <v>0</v>
      </c>
      <c r="E9" s="20">
        <f t="shared" ref="E9:E16" si="0">SUM(B9:D9)</f>
        <v>25126.84268215908</v>
      </c>
    </row>
    <row r="10" spans="1:10" x14ac:dyDescent="0.25">
      <c r="A10" s="19" t="s">
        <v>27</v>
      </c>
      <c r="B10" s="20">
        <f>+'FINANCIAL POSITION'!B14</f>
        <v>25</v>
      </c>
      <c r="C10" s="20">
        <v>0</v>
      </c>
      <c r="D10" s="20">
        <v>0</v>
      </c>
      <c r="E10" s="20">
        <f t="shared" si="0"/>
        <v>25</v>
      </c>
    </row>
    <row r="11" spans="1:10" x14ac:dyDescent="0.25">
      <c r="A11" s="19" t="s">
        <v>28</v>
      </c>
      <c r="B11" s="20">
        <v>0</v>
      </c>
      <c r="C11" s="20">
        <v>0</v>
      </c>
      <c r="D11" s="20">
        <v>0</v>
      </c>
      <c r="E11" s="20">
        <f t="shared" si="0"/>
        <v>0</v>
      </c>
    </row>
    <row r="12" spans="1:10" x14ac:dyDescent="0.25">
      <c r="A12" s="19" t="s">
        <v>29</v>
      </c>
      <c r="B12" s="20">
        <v>0</v>
      </c>
      <c r="C12" s="20">
        <v>0</v>
      </c>
      <c r="D12" s="20">
        <v>0</v>
      </c>
      <c r="E12" s="20">
        <f t="shared" si="0"/>
        <v>0</v>
      </c>
    </row>
    <row r="13" spans="1:10" x14ac:dyDescent="0.25">
      <c r="A13" s="19" t="s">
        <v>258</v>
      </c>
      <c r="B13" s="20">
        <f>+'FINANCIAL POSITION'!B21</f>
        <v>9580</v>
      </c>
      <c r="C13" s="20">
        <v>0</v>
      </c>
      <c r="D13" s="20">
        <v>0</v>
      </c>
      <c r="E13" s="20">
        <f t="shared" si="0"/>
        <v>9580</v>
      </c>
    </row>
    <row r="14" spans="1:10" x14ac:dyDescent="0.25">
      <c r="A14" s="19" t="s">
        <v>259</v>
      </c>
      <c r="B14" s="20">
        <f>+'FINANCIAL POSITION'!B22</f>
        <v>23345</v>
      </c>
      <c r="C14" s="20">
        <v>0</v>
      </c>
      <c r="D14" s="20">
        <v>0</v>
      </c>
      <c r="E14" s="20">
        <f t="shared" si="0"/>
        <v>23345</v>
      </c>
    </row>
    <row r="15" spans="1:10" x14ac:dyDescent="0.25">
      <c r="A15" s="19" t="s">
        <v>260</v>
      </c>
      <c r="B15" s="20">
        <v>0</v>
      </c>
      <c r="C15" s="20">
        <v>0</v>
      </c>
      <c r="D15" s="20">
        <f>2040001/1000000</f>
        <v>2.0400010000000002</v>
      </c>
      <c r="E15" s="20">
        <f t="shared" si="0"/>
        <v>2.0400010000000002</v>
      </c>
    </row>
    <row r="16" spans="1:10" x14ac:dyDescent="0.25">
      <c r="A16" s="19" t="s">
        <v>186</v>
      </c>
      <c r="B16" s="20">
        <v>0</v>
      </c>
      <c r="C16" s="20">
        <v>0</v>
      </c>
      <c r="D16" s="20">
        <v>0</v>
      </c>
      <c r="E16" s="20">
        <f t="shared" si="0"/>
        <v>0</v>
      </c>
    </row>
    <row r="17" spans="1:11" s="2" customFormat="1" x14ac:dyDescent="0.25">
      <c r="A17" s="18" t="s">
        <v>87</v>
      </c>
      <c r="B17" s="21">
        <f>SUM(B9:B16)</f>
        <v>58076.842682159084</v>
      </c>
      <c r="C17" s="21">
        <f>SUM(C9:C16)</f>
        <v>0</v>
      </c>
      <c r="D17" s="21">
        <f>SUM(D9:D16)</f>
        <v>2.0400010000000002</v>
      </c>
      <c r="E17" s="21">
        <f>SUM(E9:E16)</f>
        <v>58078.882683159085</v>
      </c>
    </row>
    <row r="18" spans="1:11" x14ac:dyDescent="0.25">
      <c r="A18" s="65"/>
      <c r="B18" s="66"/>
      <c r="C18" s="66"/>
      <c r="D18" s="66"/>
      <c r="E18" s="66"/>
      <c r="F18" s="66"/>
      <c r="G18" s="66"/>
      <c r="H18" s="66"/>
      <c r="I18" s="66"/>
      <c r="J18" s="4"/>
    </row>
    <row r="19" spans="1:11" x14ac:dyDescent="0.25">
      <c r="A19" s="55" t="s">
        <v>178</v>
      </c>
      <c r="B19" s="52" t="s">
        <v>261</v>
      </c>
      <c r="C19" s="52" t="s">
        <v>262</v>
      </c>
      <c r="D19" s="52" t="s">
        <v>82</v>
      </c>
    </row>
    <row r="20" spans="1:11" x14ac:dyDescent="0.25">
      <c r="A20" s="56"/>
      <c r="B20" s="54"/>
      <c r="C20" s="54"/>
      <c r="D20" s="54"/>
    </row>
    <row r="21" spans="1:11" x14ac:dyDescent="0.25">
      <c r="A21" s="18" t="s">
        <v>88</v>
      </c>
      <c r="B21" s="41"/>
      <c r="C21" s="19"/>
      <c r="D21" s="19"/>
    </row>
    <row r="22" spans="1:11" x14ac:dyDescent="0.25">
      <c r="A22" s="19" t="s">
        <v>37</v>
      </c>
      <c r="B22" s="67">
        <f>+'FINANCIAL POSITION'!B34</f>
        <v>39218</v>
      </c>
      <c r="C22" s="20">
        <v>0</v>
      </c>
      <c r="D22" s="20">
        <f t="shared" ref="D22:D29" si="1">SUM(B22:C22)</f>
        <v>39218</v>
      </c>
    </row>
    <row r="23" spans="1:11" x14ac:dyDescent="0.25">
      <c r="A23" s="19" t="s">
        <v>29</v>
      </c>
      <c r="B23" s="67">
        <v>0</v>
      </c>
      <c r="C23" s="20">
        <v>0</v>
      </c>
      <c r="D23" s="20">
        <f t="shared" si="1"/>
        <v>0</v>
      </c>
      <c r="K23" s="4"/>
    </row>
    <row r="24" spans="1:11" x14ac:dyDescent="0.25">
      <c r="A24" s="19" t="s">
        <v>268</v>
      </c>
      <c r="B24" s="67"/>
      <c r="C24" s="20"/>
      <c r="D24" s="20"/>
    </row>
    <row r="25" spans="1:11" x14ac:dyDescent="0.25">
      <c r="A25" s="19" t="s">
        <v>269</v>
      </c>
      <c r="B25" s="67">
        <f>+'FINANCIAL POSITION'!B40</f>
        <v>6798.5240986099998</v>
      </c>
      <c r="C25" s="20">
        <v>0</v>
      </c>
      <c r="D25" s="20">
        <f t="shared" si="1"/>
        <v>6798.5240986099998</v>
      </c>
    </row>
    <row r="26" spans="1:11" x14ac:dyDescent="0.25">
      <c r="A26" s="19" t="s">
        <v>270</v>
      </c>
      <c r="B26" s="67">
        <f>+'FINANCIAL POSITION'!B39</f>
        <v>0</v>
      </c>
      <c r="C26" s="20">
        <v>0</v>
      </c>
      <c r="D26" s="20">
        <f t="shared" si="1"/>
        <v>0</v>
      </c>
    </row>
    <row r="27" spans="1:11" x14ac:dyDescent="0.25">
      <c r="A27" s="19" t="s">
        <v>271</v>
      </c>
      <c r="B27" s="67">
        <v>0</v>
      </c>
      <c r="C27" s="20">
        <v>0</v>
      </c>
      <c r="D27" s="20">
        <f t="shared" si="1"/>
        <v>0</v>
      </c>
    </row>
    <row r="28" spans="1:11" x14ac:dyDescent="0.25">
      <c r="A28" s="19" t="s">
        <v>89</v>
      </c>
      <c r="B28" s="67">
        <v>0</v>
      </c>
      <c r="C28" s="20">
        <v>0</v>
      </c>
      <c r="D28" s="20">
        <f t="shared" si="1"/>
        <v>0</v>
      </c>
    </row>
    <row r="29" spans="1:11" x14ac:dyDescent="0.25">
      <c r="A29" s="18" t="s">
        <v>90</v>
      </c>
      <c r="B29" s="68">
        <f>SUM(B22:B28)</f>
        <v>46016.524098609996</v>
      </c>
      <c r="C29" s="68">
        <f>SUM(C22:C28)</f>
        <v>0</v>
      </c>
      <c r="D29" s="21">
        <f t="shared" si="1"/>
        <v>46016.524098609996</v>
      </c>
    </row>
    <row r="30" spans="1:11" s="22" customFormat="1" x14ac:dyDescent="0.25">
      <c r="A30" s="35" t="s">
        <v>266</v>
      </c>
      <c r="B30" s="40"/>
      <c r="C30" s="40"/>
      <c r="D30" s="40"/>
      <c r="E30" s="40"/>
      <c r="F30" s="40"/>
      <c r="G30" s="40"/>
      <c r="H30" s="40"/>
      <c r="I30" s="40"/>
    </row>
    <row r="31" spans="1:11" s="22" customFormat="1" x14ac:dyDescent="0.25">
      <c r="A31" s="35" t="s">
        <v>265</v>
      </c>
      <c r="B31" s="40"/>
      <c r="C31" s="40"/>
      <c r="D31" s="40"/>
      <c r="E31" s="40"/>
      <c r="F31" s="40"/>
      <c r="G31" s="40"/>
      <c r="H31" s="40"/>
      <c r="I31" s="40"/>
    </row>
    <row r="32" spans="1:11" s="22" customFormat="1" x14ac:dyDescent="0.25">
      <c r="A32" s="35" t="s">
        <v>264</v>
      </c>
      <c r="B32" s="40"/>
      <c r="C32" s="40"/>
      <c r="D32" s="40"/>
      <c r="E32" s="40"/>
      <c r="F32" s="40"/>
      <c r="G32" s="40"/>
      <c r="H32" s="40"/>
      <c r="I32" s="40"/>
    </row>
    <row r="33" spans="1:10" s="22" customFormat="1" x14ac:dyDescent="0.25">
      <c r="A33" s="35"/>
      <c r="B33" s="40"/>
      <c r="C33" s="40"/>
      <c r="D33" s="40"/>
      <c r="E33" s="40"/>
      <c r="F33" s="40"/>
      <c r="G33" s="40"/>
      <c r="H33" s="40"/>
      <c r="I33" s="40"/>
    </row>
    <row r="34" spans="1:10" s="22" customFormat="1" x14ac:dyDescent="0.25">
      <c r="A34" s="337" t="s">
        <v>21</v>
      </c>
      <c r="B34" s="337"/>
      <c r="C34" s="337"/>
      <c r="D34" s="337"/>
      <c r="E34" s="337"/>
      <c r="F34" s="42"/>
      <c r="G34" s="42"/>
      <c r="H34" s="42"/>
      <c r="I34" s="42"/>
      <c r="J34" s="40"/>
    </row>
    <row r="35" spans="1:10" s="22" customFormat="1" x14ac:dyDescent="0.25">
      <c r="A35" s="337" t="s">
        <v>91</v>
      </c>
      <c r="B35" s="337"/>
      <c r="C35" s="337"/>
      <c r="D35" s="337"/>
      <c r="E35" s="337"/>
      <c r="F35" s="42"/>
      <c r="G35" s="42"/>
      <c r="H35" s="42"/>
      <c r="I35" s="42"/>
      <c r="J35" s="40"/>
    </row>
    <row r="36" spans="1:10" s="22" customFormat="1" x14ac:dyDescent="0.25">
      <c r="A36" s="337" t="s">
        <v>355</v>
      </c>
      <c r="B36" s="337"/>
      <c r="C36" s="337"/>
      <c r="D36" s="337"/>
      <c r="E36" s="337"/>
      <c r="F36" s="42"/>
      <c r="G36" s="42"/>
      <c r="H36" s="42"/>
      <c r="I36" s="42"/>
      <c r="J36" s="40"/>
    </row>
    <row r="37" spans="1:10" s="337" customFormat="1" x14ac:dyDescent="0.25"/>
    <row r="38" spans="1:10" s="70" customFormat="1" x14ac:dyDescent="0.25">
      <c r="A38" s="127" t="s">
        <v>121</v>
      </c>
      <c r="B38" s="127"/>
      <c r="C38" s="127"/>
      <c r="D38" s="127"/>
      <c r="E38" s="127"/>
    </row>
    <row r="39" spans="1:10" x14ac:dyDescent="0.25">
      <c r="A39" s="55" t="s">
        <v>178</v>
      </c>
      <c r="B39" s="52" t="s">
        <v>261</v>
      </c>
      <c r="C39" s="52" t="s">
        <v>262</v>
      </c>
      <c r="D39" s="52" t="s">
        <v>263</v>
      </c>
      <c r="E39" s="52" t="s">
        <v>82</v>
      </c>
    </row>
    <row r="40" spans="1:10" x14ac:dyDescent="0.25">
      <c r="A40" s="34"/>
      <c r="B40" s="53"/>
      <c r="C40" s="53"/>
      <c r="D40" s="53"/>
      <c r="E40" s="53"/>
    </row>
    <row r="41" spans="1:10" x14ac:dyDescent="0.25">
      <c r="A41" s="18" t="s">
        <v>85</v>
      </c>
      <c r="B41" s="19"/>
      <c r="C41" s="20"/>
      <c r="D41" s="20"/>
      <c r="E41" s="20"/>
    </row>
    <row r="42" spans="1:10" x14ac:dyDescent="0.25">
      <c r="A42" s="19" t="s">
        <v>86</v>
      </c>
      <c r="B42" s="20">
        <f>+'FINANCIAL POSITION'!C13</f>
        <v>2859</v>
      </c>
      <c r="C42" s="20">
        <v>0</v>
      </c>
      <c r="D42" s="20">
        <v>0</v>
      </c>
      <c r="E42" s="20">
        <f>SUM(B42:D42)</f>
        <v>2859</v>
      </c>
    </row>
    <row r="43" spans="1:10" x14ac:dyDescent="0.25">
      <c r="A43" s="19" t="s">
        <v>27</v>
      </c>
      <c r="B43" s="20">
        <f>+'FINANCIAL POSITION'!C14</f>
        <v>113</v>
      </c>
      <c r="C43" s="20">
        <v>0</v>
      </c>
      <c r="D43" s="20">
        <v>0</v>
      </c>
      <c r="E43" s="20">
        <f t="shared" ref="E43:E49" si="2">SUM(B43:D43)</f>
        <v>113</v>
      </c>
    </row>
    <row r="44" spans="1:10" x14ac:dyDescent="0.25">
      <c r="A44" s="19" t="s">
        <v>28</v>
      </c>
      <c r="B44" s="20">
        <v>0</v>
      </c>
      <c r="C44" s="20">
        <v>0</v>
      </c>
      <c r="D44" s="20">
        <v>0</v>
      </c>
      <c r="E44" s="20">
        <f t="shared" si="2"/>
        <v>0</v>
      </c>
    </row>
    <row r="45" spans="1:10" x14ac:dyDescent="0.25">
      <c r="A45" s="19" t="s">
        <v>29</v>
      </c>
      <c r="B45" s="20">
        <v>0</v>
      </c>
      <c r="C45" s="20">
        <v>0</v>
      </c>
      <c r="D45" s="20">
        <v>0</v>
      </c>
      <c r="E45" s="20">
        <f t="shared" si="2"/>
        <v>0</v>
      </c>
    </row>
    <row r="46" spans="1:10" x14ac:dyDescent="0.25">
      <c r="A46" s="19" t="s">
        <v>258</v>
      </c>
      <c r="B46" s="20">
        <f>+'FINANCIAL POSITION'!C22</f>
        <v>46912</v>
      </c>
      <c r="C46" s="20">
        <v>0</v>
      </c>
      <c r="D46" s="20">
        <v>0</v>
      </c>
      <c r="E46" s="20">
        <f t="shared" si="2"/>
        <v>46912</v>
      </c>
    </row>
    <row r="47" spans="1:10" x14ac:dyDescent="0.25">
      <c r="A47" s="19" t="s">
        <v>259</v>
      </c>
      <c r="B47" s="20">
        <f>+'FINANCIAL POSITION'!C22</f>
        <v>46912</v>
      </c>
      <c r="C47" s="20">
        <v>0</v>
      </c>
      <c r="D47" s="20">
        <v>0</v>
      </c>
      <c r="E47" s="20">
        <f t="shared" si="2"/>
        <v>46912</v>
      </c>
    </row>
    <row r="48" spans="1:10" x14ac:dyDescent="0.25">
      <c r="A48" s="19" t="s">
        <v>260</v>
      </c>
      <c r="B48" s="20">
        <v>0</v>
      </c>
      <c r="C48" s="20">
        <v>0</v>
      </c>
      <c r="D48" s="20">
        <f>2040001/1000000</f>
        <v>2.0400010000000002</v>
      </c>
      <c r="E48" s="20">
        <f t="shared" si="2"/>
        <v>2.0400010000000002</v>
      </c>
    </row>
    <row r="49" spans="1:10" x14ac:dyDescent="0.25">
      <c r="A49" s="19" t="s">
        <v>186</v>
      </c>
      <c r="B49" s="20">
        <v>0</v>
      </c>
      <c r="C49" s="20">
        <v>0</v>
      </c>
      <c r="D49" s="20">
        <v>0</v>
      </c>
      <c r="E49" s="20">
        <f t="shared" si="2"/>
        <v>0</v>
      </c>
    </row>
    <row r="50" spans="1:10" s="2" customFormat="1" x14ac:dyDescent="0.25">
      <c r="A50" s="18" t="s">
        <v>87</v>
      </c>
      <c r="B50" s="21">
        <f>SUM(B42:B49)</f>
        <v>96796</v>
      </c>
      <c r="C50" s="21">
        <f>SUM(C42:C49)</f>
        <v>0</v>
      </c>
      <c r="D50" s="21">
        <f>SUM(D42:D49)</f>
        <v>2.0400010000000002</v>
      </c>
      <c r="E50" s="21">
        <f>SUM(E42:E49)</f>
        <v>96798.040001000001</v>
      </c>
    </row>
    <row r="51" spans="1:10" x14ac:dyDescent="0.25">
      <c r="A51" s="65"/>
      <c r="B51" s="66"/>
      <c r="C51" s="66"/>
      <c r="D51" s="66"/>
      <c r="E51" s="66"/>
      <c r="F51" s="66"/>
      <c r="G51" s="66"/>
      <c r="H51" s="66"/>
      <c r="I51" s="66"/>
      <c r="J51" s="4"/>
    </row>
    <row r="52" spans="1:10" x14ac:dyDescent="0.25">
      <c r="A52" s="55" t="s">
        <v>267</v>
      </c>
      <c r="B52" s="52" t="s">
        <v>261</v>
      </c>
      <c r="C52" s="52" t="s">
        <v>262</v>
      </c>
      <c r="D52" s="52" t="s">
        <v>82</v>
      </c>
    </row>
    <row r="53" spans="1:10" x14ac:dyDescent="0.25">
      <c r="A53" s="34"/>
      <c r="B53" s="53"/>
      <c r="C53" s="53"/>
      <c r="D53" s="53"/>
    </row>
    <row r="54" spans="1:10" x14ac:dyDescent="0.25">
      <c r="A54" s="18" t="s">
        <v>88</v>
      </c>
      <c r="B54" s="69"/>
      <c r="C54" s="19"/>
      <c r="D54" s="19"/>
    </row>
    <row r="55" spans="1:10" x14ac:dyDescent="0.25">
      <c r="A55" s="19" t="s">
        <v>37</v>
      </c>
      <c r="B55" s="67">
        <f>+'FINANCIAL POSITION'!C34</f>
        <v>40813</v>
      </c>
      <c r="C55" s="20">
        <v>0</v>
      </c>
      <c r="D55" s="20">
        <f>SUM(B55:C55)</f>
        <v>40813</v>
      </c>
    </row>
    <row r="56" spans="1:10" x14ac:dyDescent="0.25">
      <c r="A56" s="19" t="s">
        <v>29</v>
      </c>
      <c r="B56" s="67">
        <v>0</v>
      </c>
      <c r="C56" s="20">
        <v>0</v>
      </c>
      <c r="D56" s="20">
        <f t="shared" ref="D56:D62" si="3">SUM(B56:C56)</f>
        <v>0</v>
      </c>
    </row>
    <row r="57" spans="1:10" x14ac:dyDescent="0.25">
      <c r="A57" s="19" t="s">
        <v>268</v>
      </c>
      <c r="B57" s="67"/>
      <c r="C57" s="20"/>
      <c r="D57" s="20">
        <f t="shared" si="3"/>
        <v>0</v>
      </c>
    </row>
    <row r="58" spans="1:10" x14ac:dyDescent="0.25">
      <c r="A58" s="19" t="s">
        <v>269</v>
      </c>
      <c r="B58" s="67">
        <f>+'FINANCIAL POSITION'!C40</f>
        <v>6440</v>
      </c>
      <c r="C58" s="20">
        <v>0</v>
      </c>
      <c r="D58" s="20">
        <f t="shared" si="3"/>
        <v>6440</v>
      </c>
    </row>
    <row r="59" spans="1:10" x14ac:dyDescent="0.25">
      <c r="A59" s="19" t="s">
        <v>270</v>
      </c>
      <c r="B59" s="67">
        <f>+'FINANCIAL POSITION'!B72</f>
        <v>0</v>
      </c>
      <c r="C59" s="20">
        <v>0</v>
      </c>
      <c r="D59" s="20">
        <f t="shared" si="3"/>
        <v>0</v>
      </c>
    </row>
    <row r="60" spans="1:10" x14ac:dyDescent="0.25">
      <c r="A60" s="19" t="s">
        <v>271</v>
      </c>
      <c r="B60" s="67">
        <v>0</v>
      </c>
      <c r="C60" s="20">
        <v>0</v>
      </c>
      <c r="D60" s="20">
        <f t="shared" si="3"/>
        <v>0</v>
      </c>
    </row>
    <row r="61" spans="1:10" x14ac:dyDescent="0.25">
      <c r="A61" s="19" t="s">
        <v>89</v>
      </c>
      <c r="B61" s="67">
        <v>0</v>
      </c>
      <c r="C61" s="20">
        <v>0</v>
      </c>
      <c r="D61" s="20">
        <f t="shared" si="3"/>
        <v>0</v>
      </c>
    </row>
    <row r="62" spans="1:10" x14ac:dyDescent="0.25">
      <c r="A62" s="18" t="s">
        <v>90</v>
      </c>
      <c r="B62" s="68">
        <f>SUM(B55:B61)</f>
        <v>47253</v>
      </c>
      <c r="C62" s="68">
        <f>SUM(C55:C61)</f>
        <v>0</v>
      </c>
      <c r="D62" s="21">
        <f t="shared" si="3"/>
        <v>47253</v>
      </c>
    </row>
    <row r="63" spans="1:10" s="22" customFormat="1" x14ac:dyDescent="0.25">
      <c r="A63" s="35" t="s">
        <v>266</v>
      </c>
      <c r="B63" s="40"/>
      <c r="C63" s="40"/>
      <c r="D63" s="40"/>
      <c r="E63" s="40"/>
      <c r="F63" s="40"/>
      <c r="G63" s="40"/>
      <c r="H63" s="40"/>
      <c r="I63" s="40"/>
    </row>
    <row r="64" spans="1:10" s="22" customFormat="1" x14ac:dyDescent="0.25">
      <c r="A64" s="35" t="s">
        <v>265</v>
      </c>
      <c r="B64" s="40"/>
      <c r="C64" s="40"/>
      <c r="D64" s="40"/>
      <c r="E64" s="40"/>
      <c r="F64" s="40"/>
      <c r="G64" s="40"/>
      <c r="H64" s="40"/>
      <c r="I64" s="40"/>
    </row>
    <row r="65" spans="1:9" s="22" customFormat="1" x14ac:dyDescent="0.25">
      <c r="A65" s="35" t="s">
        <v>264</v>
      </c>
      <c r="B65" s="40"/>
      <c r="C65" s="40"/>
      <c r="D65" s="40"/>
      <c r="E65" s="40"/>
      <c r="F65" s="40"/>
      <c r="G65" s="40"/>
      <c r="H65" s="40"/>
      <c r="I65" s="40"/>
    </row>
    <row r="66" spans="1:9" s="40" customFormat="1" x14ac:dyDescent="0.25"/>
    <row r="67" spans="1:9" s="40" customFormat="1" x14ac:dyDescent="0.25">
      <c r="A67" s="337" t="s">
        <v>21</v>
      </c>
      <c r="B67" s="337"/>
      <c r="C67" s="337"/>
      <c r="D67" s="337"/>
      <c r="E67" s="337"/>
      <c r="F67" s="123"/>
      <c r="G67" s="123"/>
      <c r="H67" s="123"/>
      <c r="I67" s="123"/>
    </row>
    <row r="68" spans="1:9" s="40" customFormat="1" x14ac:dyDescent="0.25">
      <c r="A68" s="336" t="s">
        <v>112</v>
      </c>
      <c r="B68" s="337"/>
      <c r="C68" s="337"/>
      <c r="D68" s="337"/>
      <c r="E68" s="337"/>
      <c r="F68" s="123"/>
      <c r="G68" s="123"/>
      <c r="H68" s="123"/>
      <c r="I68" s="123"/>
    </row>
    <row r="69" spans="1:9" s="107" customFormat="1" x14ac:dyDescent="0.25">
      <c r="A69" s="336" t="s">
        <v>353</v>
      </c>
      <c r="B69" s="337"/>
      <c r="C69" s="337"/>
      <c r="D69" s="337"/>
      <c r="E69" s="337"/>
      <c r="F69" s="124"/>
      <c r="G69" s="124"/>
      <c r="H69" s="124"/>
      <c r="I69" s="124"/>
    </row>
    <row r="70" spans="1:9" s="40" customFormat="1" x14ac:dyDescent="0.25">
      <c r="A70" s="361"/>
      <c r="B70" s="362"/>
      <c r="C70" s="362"/>
      <c r="D70" s="362"/>
      <c r="E70" s="362"/>
      <c r="F70" s="362"/>
      <c r="G70" s="362"/>
      <c r="H70" s="362"/>
      <c r="I70" s="362"/>
    </row>
    <row r="71" spans="1:9" s="4" customFormat="1" x14ac:dyDescent="0.25">
      <c r="A71" s="127" t="s">
        <v>129</v>
      </c>
      <c r="B71" s="127"/>
      <c r="C71" s="127"/>
      <c r="D71" s="127"/>
      <c r="E71" s="127"/>
    </row>
    <row r="72" spans="1:9" s="4" customFormat="1" x14ac:dyDescent="0.25">
      <c r="A72" s="77" t="s">
        <v>267</v>
      </c>
      <c r="B72" s="52" t="s">
        <v>261</v>
      </c>
      <c r="C72" s="52" t="s">
        <v>262</v>
      </c>
      <c r="D72" s="52" t="s">
        <v>263</v>
      </c>
      <c r="E72" s="52" t="s">
        <v>82</v>
      </c>
    </row>
    <row r="73" spans="1:9" s="4" customFormat="1" x14ac:dyDescent="0.25">
      <c r="A73" s="78"/>
      <c r="B73" s="79"/>
      <c r="C73" s="79"/>
      <c r="D73" s="79"/>
      <c r="E73" s="79"/>
    </row>
    <row r="74" spans="1:9" s="4" customFormat="1" x14ac:dyDescent="0.25">
      <c r="A74" s="18" t="s">
        <v>85</v>
      </c>
      <c r="B74" s="19"/>
      <c r="C74" s="19"/>
      <c r="D74" s="19"/>
      <c r="E74" s="19"/>
    </row>
    <row r="75" spans="1:9" s="4" customFormat="1" x14ac:dyDescent="0.25">
      <c r="A75" s="19" t="s">
        <v>86</v>
      </c>
      <c r="B75" s="75">
        <f>+'FINANCIAL POSITION'!D13</f>
        <v>109967.776078</v>
      </c>
      <c r="C75" s="75"/>
      <c r="D75" s="75"/>
      <c r="E75" s="75">
        <f t="shared" ref="E75:E82" si="4">SUM(B75:D75)</f>
        <v>109967.776078</v>
      </c>
    </row>
    <row r="76" spans="1:9" s="4" customFormat="1" x14ac:dyDescent="0.25">
      <c r="A76" s="19" t="s">
        <v>27</v>
      </c>
      <c r="B76" s="75">
        <f>+'FINANCIAL POSITION'!D14</f>
        <v>2274.7862070000001</v>
      </c>
      <c r="C76" s="75"/>
      <c r="D76" s="75"/>
      <c r="E76" s="75">
        <f t="shared" si="4"/>
        <v>2274.7862070000001</v>
      </c>
    </row>
    <row r="77" spans="1:9" s="4" customFormat="1" x14ac:dyDescent="0.25">
      <c r="A77" s="19" t="s">
        <v>28</v>
      </c>
      <c r="B77" s="75">
        <f>+'FINANCIAL POSITION'!D15</f>
        <v>216091.855755</v>
      </c>
      <c r="C77" s="75"/>
      <c r="D77" s="75"/>
      <c r="E77" s="75">
        <f t="shared" si="4"/>
        <v>216091.855755</v>
      </c>
    </row>
    <row r="78" spans="1:9" s="4" customFormat="1" x14ac:dyDescent="0.25">
      <c r="A78" s="19" t="s">
        <v>29</v>
      </c>
      <c r="B78" s="75"/>
      <c r="C78" s="75"/>
      <c r="D78" s="75"/>
      <c r="E78" s="75">
        <f t="shared" si="4"/>
        <v>0</v>
      </c>
    </row>
    <row r="79" spans="1:9" s="4" customFormat="1" x14ac:dyDescent="0.25">
      <c r="A79" s="19" t="s">
        <v>258</v>
      </c>
      <c r="B79" s="75">
        <f>+'FINANCIAL POSITION'!D21</f>
        <v>1268100.343505</v>
      </c>
      <c r="C79" s="75"/>
      <c r="D79" s="75"/>
      <c r="E79" s="75">
        <f t="shared" si="4"/>
        <v>1268100.343505</v>
      </c>
    </row>
    <row r="80" spans="1:9" s="4" customFormat="1" x14ac:dyDescent="0.25">
      <c r="A80" s="19" t="s">
        <v>259</v>
      </c>
      <c r="B80" s="75">
        <f>+'FINANCIAL POSITION'!D22</f>
        <v>738972.10068399995</v>
      </c>
      <c r="C80" s="75"/>
      <c r="D80" s="75"/>
      <c r="E80" s="75">
        <f t="shared" si="4"/>
        <v>738972.10068399995</v>
      </c>
    </row>
    <row r="81" spans="1:9" s="4" customFormat="1" x14ac:dyDescent="0.25">
      <c r="A81" s="19" t="s">
        <v>260</v>
      </c>
      <c r="B81" s="75"/>
      <c r="C81" s="75"/>
      <c r="D81" s="75">
        <v>231039.94138</v>
      </c>
      <c r="E81" s="75">
        <f t="shared" si="4"/>
        <v>231039.94138</v>
      </c>
    </row>
    <row r="82" spans="1:9" s="4" customFormat="1" x14ac:dyDescent="0.25">
      <c r="A82" s="19" t="s">
        <v>186</v>
      </c>
      <c r="B82" s="75"/>
      <c r="C82" s="75"/>
      <c r="D82" s="75"/>
      <c r="E82" s="75">
        <f t="shared" si="4"/>
        <v>0</v>
      </c>
    </row>
    <row r="83" spans="1:9" s="5" customFormat="1" x14ac:dyDescent="0.25">
      <c r="A83" s="18" t="s">
        <v>87</v>
      </c>
      <c r="B83" s="21">
        <f>SUM(B75:B82)</f>
        <v>2335406.8622289998</v>
      </c>
      <c r="C83" s="21">
        <f>SUM(C75:C82)</f>
        <v>0</v>
      </c>
      <c r="D83" s="21">
        <f>SUM(D75:D82)</f>
        <v>231039.94138</v>
      </c>
      <c r="E83" s="21">
        <f>SUM(E75:E82)</f>
        <v>2566446.8036090001</v>
      </c>
    </row>
    <row r="84" spans="1:9" s="4" customFormat="1" x14ac:dyDescent="0.25">
      <c r="A84" s="65"/>
      <c r="B84" s="80"/>
      <c r="C84" s="80"/>
      <c r="D84" s="80"/>
      <c r="E84" s="80"/>
      <c r="F84" s="80"/>
      <c r="G84" s="80"/>
      <c r="H84" s="80"/>
      <c r="I84" s="80"/>
    </row>
    <row r="85" spans="1:9" s="4" customFormat="1" x14ac:dyDescent="0.25">
      <c r="A85" s="77" t="s">
        <v>267</v>
      </c>
      <c r="B85" s="52" t="s">
        <v>261</v>
      </c>
      <c r="C85" s="52" t="s">
        <v>262</v>
      </c>
      <c r="D85" s="52" t="s">
        <v>82</v>
      </c>
    </row>
    <row r="86" spans="1:9" s="4" customFormat="1" x14ac:dyDescent="0.25">
      <c r="A86" s="78"/>
      <c r="B86" s="79"/>
      <c r="C86" s="79"/>
      <c r="D86" s="79"/>
    </row>
    <row r="87" spans="1:9" s="4" customFormat="1" x14ac:dyDescent="0.25">
      <c r="A87" s="19" t="s">
        <v>37</v>
      </c>
      <c r="B87" s="57">
        <f>+'FINANCIAL POSITION'!D34</f>
        <v>16817.648807000001</v>
      </c>
      <c r="C87" s="57"/>
      <c r="D87" s="75">
        <f t="shared" ref="D87:D93" si="5">SUM(B87:C87)</f>
        <v>16817.648807000001</v>
      </c>
    </row>
    <row r="88" spans="1:9" s="4" customFormat="1" x14ac:dyDescent="0.25">
      <c r="A88" s="19" t="s">
        <v>29</v>
      </c>
      <c r="B88" s="57"/>
      <c r="C88" s="57"/>
      <c r="D88" s="75">
        <f t="shared" si="5"/>
        <v>0</v>
      </c>
    </row>
    <row r="89" spans="1:9" s="4" customFormat="1" x14ac:dyDescent="0.25">
      <c r="A89" s="19" t="s">
        <v>268</v>
      </c>
      <c r="B89" s="57"/>
      <c r="C89" s="57"/>
      <c r="D89" s="75">
        <f t="shared" si="5"/>
        <v>0</v>
      </c>
    </row>
    <row r="90" spans="1:9" s="4" customFormat="1" x14ac:dyDescent="0.25">
      <c r="A90" s="19" t="s">
        <v>269</v>
      </c>
      <c r="B90" s="57">
        <f>+'FINANCIAL POSITION'!D40</f>
        <v>2426733.2553630001</v>
      </c>
      <c r="C90" s="57"/>
      <c r="D90" s="75">
        <f t="shared" si="5"/>
        <v>2426733.2553630001</v>
      </c>
    </row>
    <row r="91" spans="1:9" s="4" customFormat="1" x14ac:dyDescent="0.25">
      <c r="A91" s="19" t="s">
        <v>270</v>
      </c>
      <c r="B91" s="57"/>
      <c r="C91" s="57"/>
      <c r="D91" s="75">
        <f t="shared" si="5"/>
        <v>0</v>
      </c>
    </row>
    <row r="92" spans="1:9" s="4" customFormat="1" x14ac:dyDescent="0.25">
      <c r="A92" s="19" t="s">
        <v>271</v>
      </c>
      <c r="B92" s="57"/>
      <c r="C92" s="57"/>
      <c r="D92" s="75">
        <f t="shared" si="5"/>
        <v>0</v>
      </c>
    </row>
    <row r="93" spans="1:9" s="4" customFormat="1" x14ac:dyDescent="0.25">
      <c r="A93" s="19" t="s">
        <v>89</v>
      </c>
      <c r="B93" s="57"/>
      <c r="C93" s="57"/>
      <c r="D93" s="75">
        <f t="shared" si="5"/>
        <v>0</v>
      </c>
    </row>
    <row r="94" spans="1:9" s="4" customFormat="1" x14ac:dyDescent="0.25">
      <c r="A94" s="18" t="s">
        <v>90</v>
      </c>
      <c r="B94" s="68">
        <f>SUM(B87:B93)</f>
        <v>2443550.90417</v>
      </c>
      <c r="C94" s="68">
        <f>SUM(C87:C93)</f>
        <v>0</v>
      </c>
      <c r="D94" s="21">
        <f t="shared" ref="D94" si="6">SUM(B94:C94)</f>
        <v>2443550.90417</v>
      </c>
    </row>
    <row r="95" spans="1:9" s="22" customFormat="1" x14ac:dyDescent="0.25">
      <c r="A95" s="35" t="s">
        <v>266</v>
      </c>
      <c r="B95" s="40"/>
      <c r="C95" s="40"/>
      <c r="D95" s="40"/>
      <c r="E95" s="40"/>
      <c r="F95" s="40"/>
      <c r="G95" s="40"/>
      <c r="H95" s="40"/>
      <c r="I95" s="40"/>
    </row>
    <row r="96" spans="1:9" s="22" customFormat="1" x14ac:dyDescent="0.25">
      <c r="A96" s="35" t="s">
        <v>265</v>
      </c>
      <c r="B96" s="40"/>
      <c r="C96" s="40"/>
      <c r="D96" s="40"/>
      <c r="E96" s="40"/>
      <c r="F96" s="40"/>
      <c r="G96" s="40"/>
      <c r="H96" s="40"/>
      <c r="I96" s="40"/>
    </row>
    <row r="97" spans="1:9" s="22" customFormat="1" x14ac:dyDescent="0.25">
      <c r="A97" s="35" t="s">
        <v>264</v>
      </c>
      <c r="B97" s="40"/>
      <c r="C97" s="40"/>
      <c r="D97" s="40"/>
      <c r="E97" s="40"/>
      <c r="F97" s="40"/>
      <c r="G97" s="40"/>
      <c r="H97" s="40"/>
      <c r="I97" s="40"/>
    </row>
    <row r="98" spans="1:9" s="40" customFormat="1" ht="12.75" customHeight="1" x14ac:dyDescent="0.25">
      <c r="A98" s="81"/>
      <c r="B98" s="82"/>
      <c r="C98" s="82"/>
      <c r="D98" s="82"/>
      <c r="E98" s="82"/>
      <c r="F98" s="82"/>
      <c r="G98" s="82"/>
      <c r="H98" s="82"/>
      <c r="I98" s="82"/>
    </row>
    <row r="99" spans="1:9" s="40" customFormat="1" x14ac:dyDescent="0.25">
      <c r="A99" s="337" t="s">
        <v>21</v>
      </c>
      <c r="B99" s="337"/>
      <c r="C99" s="337"/>
      <c r="D99" s="337"/>
      <c r="E99" s="337"/>
      <c r="F99" s="123"/>
      <c r="G99" s="123"/>
      <c r="H99" s="123"/>
      <c r="I99" s="123"/>
    </row>
    <row r="100" spans="1:9" s="40" customFormat="1" x14ac:dyDescent="0.25">
      <c r="A100" s="337" t="s">
        <v>91</v>
      </c>
      <c r="B100" s="337"/>
      <c r="C100" s="337"/>
      <c r="D100" s="337"/>
      <c r="E100" s="337"/>
      <c r="F100" s="123"/>
      <c r="G100" s="123"/>
      <c r="H100" s="123"/>
      <c r="I100" s="123"/>
    </row>
    <row r="101" spans="1:9" s="40" customFormat="1" x14ac:dyDescent="0.25">
      <c r="A101" s="337" t="s">
        <v>355</v>
      </c>
      <c r="B101" s="337"/>
      <c r="C101" s="337"/>
      <c r="D101" s="337"/>
      <c r="E101" s="337"/>
      <c r="F101" s="123"/>
      <c r="G101" s="123"/>
      <c r="H101" s="123"/>
      <c r="I101" s="123"/>
    </row>
    <row r="102" spans="1:9" s="40" customFormat="1" x14ac:dyDescent="0.25">
      <c r="A102" s="125"/>
      <c r="B102" s="126"/>
      <c r="C102" s="126"/>
      <c r="D102" s="126"/>
      <c r="E102" s="126"/>
      <c r="F102" s="123"/>
      <c r="G102" s="123"/>
      <c r="H102" s="123"/>
      <c r="I102" s="123"/>
    </row>
    <row r="103" spans="1:9" s="4" customFormat="1" x14ac:dyDescent="0.25">
      <c r="A103" s="127" t="s">
        <v>159</v>
      </c>
      <c r="B103" s="127"/>
      <c r="C103" s="127"/>
      <c r="D103" s="127"/>
      <c r="E103" s="127"/>
    </row>
    <row r="104" spans="1:9" s="4" customFormat="1" x14ac:dyDescent="0.25">
      <c r="A104" s="128" t="s">
        <v>267</v>
      </c>
      <c r="B104" s="129" t="s">
        <v>261</v>
      </c>
      <c r="C104" s="129" t="s">
        <v>262</v>
      </c>
      <c r="D104" s="129" t="s">
        <v>263</v>
      </c>
      <c r="E104" s="129" t="s">
        <v>82</v>
      </c>
    </row>
    <row r="105" spans="1:9" s="4" customFormat="1" x14ac:dyDescent="0.25">
      <c r="A105" s="128"/>
      <c r="B105" s="130"/>
      <c r="C105" s="130"/>
      <c r="D105" s="130"/>
      <c r="E105" s="130"/>
    </row>
    <row r="106" spans="1:9" s="4" customFormat="1" x14ac:dyDescent="0.25">
      <c r="A106" s="18" t="s">
        <v>85</v>
      </c>
      <c r="B106" s="19"/>
      <c r="C106" s="19"/>
      <c r="D106" s="19"/>
      <c r="E106" s="19"/>
    </row>
    <row r="107" spans="1:9" s="4" customFormat="1" x14ac:dyDescent="0.25">
      <c r="A107" s="19" t="s">
        <v>86</v>
      </c>
      <c r="B107" s="75">
        <f>+'FINANCIAL POSITION'!E13</f>
        <v>124208.166264</v>
      </c>
      <c r="C107" s="75"/>
      <c r="D107" s="75"/>
      <c r="E107" s="75">
        <f t="shared" ref="E107:E114" si="7">SUM(B107:D107)</f>
        <v>124208.166264</v>
      </c>
    </row>
    <row r="108" spans="1:9" s="4" customFormat="1" x14ac:dyDescent="0.25">
      <c r="A108" s="19" t="s">
        <v>27</v>
      </c>
      <c r="B108" s="75">
        <f>+'FINANCIAL POSITION'!E14</f>
        <v>2059.2428989999999</v>
      </c>
      <c r="C108" s="75"/>
      <c r="D108" s="75"/>
      <c r="E108" s="75">
        <f t="shared" si="7"/>
        <v>2059.2428989999999</v>
      </c>
    </row>
    <row r="109" spans="1:9" s="4" customFormat="1" x14ac:dyDescent="0.25">
      <c r="A109" s="19" t="s">
        <v>28</v>
      </c>
      <c r="B109" s="75">
        <f>+'FINANCIAL POSITION'!E15</f>
        <v>183555.20297099999</v>
      </c>
      <c r="C109" s="75"/>
      <c r="D109" s="75"/>
      <c r="E109" s="75">
        <f t="shared" si="7"/>
        <v>183555.20297099999</v>
      </c>
    </row>
    <row r="110" spans="1:9" s="4" customFormat="1" x14ac:dyDescent="0.25">
      <c r="A110" s="19" t="s">
        <v>29</v>
      </c>
      <c r="B110" s="75"/>
      <c r="C110" s="75"/>
      <c r="D110" s="75"/>
      <c r="E110" s="75">
        <f t="shared" si="7"/>
        <v>0</v>
      </c>
    </row>
    <row r="111" spans="1:9" s="4" customFormat="1" x14ac:dyDescent="0.25">
      <c r="A111" s="19" t="s">
        <v>258</v>
      </c>
      <c r="B111" s="75">
        <f>+'FINANCIAL POSITION'!E21</f>
        <v>1277206.5261659999</v>
      </c>
      <c r="C111" s="75"/>
      <c r="D111" s="75"/>
      <c r="E111" s="75">
        <f t="shared" si="7"/>
        <v>1277206.5261659999</v>
      </c>
    </row>
    <row r="112" spans="1:9" s="4" customFormat="1" x14ac:dyDescent="0.25">
      <c r="A112" s="19" t="s">
        <v>259</v>
      </c>
      <c r="B112" s="75">
        <f>+'FINANCIAL POSITION'!E22</f>
        <v>721843.052669</v>
      </c>
      <c r="C112" s="75"/>
      <c r="D112" s="75"/>
      <c r="E112" s="75">
        <f t="shared" si="7"/>
        <v>721843.052669</v>
      </c>
    </row>
    <row r="113" spans="1:9" s="4" customFormat="1" x14ac:dyDescent="0.25">
      <c r="A113" s="19" t="s">
        <v>260</v>
      </c>
      <c r="B113" s="75"/>
      <c r="C113" s="75"/>
      <c r="D113" s="75">
        <v>201798</v>
      </c>
      <c r="E113" s="75">
        <f t="shared" si="7"/>
        <v>201798</v>
      </c>
    </row>
    <row r="114" spans="1:9" s="4" customFormat="1" x14ac:dyDescent="0.25">
      <c r="A114" s="19" t="s">
        <v>186</v>
      </c>
      <c r="B114" s="75"/>
      <c r="C114" s="75"/>
      <c r="D114" s="75"/>
      <c r="E114" s="75">
        <f t="shared" si="7"/>
        <v>0</v>
      </c>
    </row>
    <row r="115" spans="1:9" s="5" customFormat="1" x14ac:dyDescent="0.25">
      <c r="A115" s="18" t="s">
        <v>87</v>
      </c>
      <c r="B115" s="21">
        <f>SUM(B107:B114)</f>
        <v>2308872.1909690001</v>
      </c>
      <c r="C115" s="21">
        <f>SUM(C107:C114)</f>
        <v>0</v>
      </c>
      <c r="D115" s="21">
        <f>SUM(D107:D114)</f>
        <v>201798</v>
      </c>
      <c r="E115" s="21">
        <f>SUM(E107:E114)</f>
        <v>2510670.1909690001</v>
      </c>
    </row>
    <row r="116" spans="1:9" s="4" customFormat="1" ht="18" customHeight="1" x14ac:dyDescent="0.25">
      <c r="A116" s="65"/>
      <c r="B116" s="80"/>
      <c r="C116" s="80"/>
      <c r="D116" s="80"/>
      <c r="E116" s="80"/>
      <c r="F116" s="80"/>
      <c r="G116" s="80"/>
      <c r="H116" s="80"/>
      <c r="I116" s="80"/>
    </row>
    <row r="117" spans="1:9" s="4" customFormat="1" x14ac:dyDescent="0.25">
      <c r="A117" s="128" t="s">
        <v>267</v>
      </c>
      <c r="B117" s="129" t="s">
        <v>261</v>
      </c>
      <c r="C117" s="129" t="s">
        <v>262</v>
      </c>
      <c r="D117" s="129" t="s">
        <v>82</v>
      </c>
    </row>
    <row r="118" spans="1:9" s="4" customFormat="1" x14ac:dyDescent="0.25">
      <c r="A118" s="128"/>
      <c r="B118" s="194"/>
      <c r="C118" s="130"/>
      <c r="D118" s="130"/>
    </row>
    <row r="119" spans="1:9" s="4" customFormat="1" x14ac:dyDescent="0.25">
      <c r="A119" s="19" t="s">
        <v>37</v>
      </c>
      <c r="B119" s="20">
        <f>+'FINANCIAL POSITION'!E34</f>
        <v>18294.804104999999</v>
      </c>
      <c r="C119" s="57"/>
      <c r="D119" s="75">
        <f>SUM(B119:C119)</f>
        <v>18294.804104999999</v>
      </c>
    </row>
    <row r="120" spans="1:9" s="4" customFormat="1" x14ac:dyDescent="0.25">
      <c r="A120" s="19" t="s">
        <v>29</v>
      </c>
      <c r="B120" s="20"/>
      <c r="C120" s="57"/>
      <c r="D120" s="75">
        <f t="shared" ref="D120:D125" si="8">SUM(B120:C120)</f>
        <v>0</v>
      </c>
    </row>
    <row r="121" spans="1:9" s="4" customFormat="1" x14ac:dyDescent="0.25">
      <c r="A121" s="19" t="s">
        <v>268</v>
      </c>
      <c r="B121" s="20"/>
      <c r="C121" s="57"/>
      <c r="D121" s="75">
        <f t="shared" si="8"/>
        <v>0</v>
      </c>
    </row>
    <row r="122" spans="1:9" s="4" customFormat="1" x14ac:dyDescent="0.25">
      <c r="A122" s="19" t="s">
        <v>269</v>
      </c>
      <c r="B122" s="20">
        <f>+'FINANCIAL POSITION'!E40</f>
        <v>2399970.6460580002</v>
      </c>
      <c r="C122" s="57"/>
      <c r="D122" s="75">
        <f t="shared" si="8"/>
        <v>2399970.6460580002</v>
      </c>
    </row>
    <row r="123" spans="1:9" s="4" customFormat="1" x14ac:dyDescent="0.25">
      <c r="A123" s="19" t="s">
        <v>270</v>
      </c>
      <c r="B123" s="193"/>
      <c r="C123" s="57"/>
      <c r="D123" s="75">
        <f t="shared" si="8"/>
        <v>0</v>
      </c>
    </row>
    <row r="124" spans="1:9" s="4" customFormat="1" x14ac:dyDescent="0.25">
      <c r="A124" s="19" t="s">
        <v>271</v>
      </c>
      <c r="B124" s="57"/>
      <c r="C124" s="57"/>
      <c r="D124" s="75">
        <f t="shared" si="8"/>
        <v>0</v>
      </c>
    </row>
    <row r="125" spans="1:9" s="4" customFormat="1" x14ac:dyDescent="0.25">
      <c r="A125" s="19" t="s">
        <v>89</v>
      </c>
      <c r="B125" s="57"/>
      <c r="C125" s="57"/>
      <c r="D125" s="75">
        <f t="shared" si="8"/>
        <v>0</v>
      </c>
    </row>
    <row r="126" spans="1:9" s="4" customFormat="1" x14ac:dyDescent="0.25">
      <c r="A126" s="18" t="s">
        <v>90</v>
      </c>
      <c r="B126" s="68">
        <f>SUM(B119:B125)</f>
        <v>2418265.4501630003</v>
      </c>
      <c r="C126" s="68">
        <f>SUM(C119:C125)</f>
        <v>0</v>
      </c>
      <c r="D126" s="21">
        <f>SUM(B126:C126)</f>
        <v>2418265.4501630003</v>
      </c>
    </row>
    <row r="127" spans="1:9" s="22" customFormat="1" x14ac:dyDescent="0.25">
      <c r="A127" s="35" t="s">
        <v>266</v>
      </c>
      <c r="B127" s="40"/>
      <c r="C127" s="40"/>
      <c r="D127" s="40"/>
      <c r="E127" s="40"/>
      <c r="F127" s="40"/>
      <c r="G127" s="40"/>
      <c r="H127" s="40"/>
      <c r="I127" s="40"/>
    </row>
    <row r="128" spans="1:9" s="22" customFormat="1" x14ac:dyDescent="0.25">
      <c r="A128" s="35" t="s">
        <v>265</v>
      </c>
      <c r="B128" s="40"/>
      <c r="C128" s="40"/>
      <c r="D128" s="40"/>
      <c r="E128" s="40"/>
      <c r="F128" s="40"/>
      <c r="G128" s="40"/>
      <c r="H128" s="40"/>
      <c r="I128" s="40"/>
    </row>
    <row r="129" spans="1:9" s="22" customFormat="1" x14ac:dyDescent="0.25">
      <c r="A129" s="35" t="s">
        <v>264</v>
      </c>
      <c r="B129" s="40"/>
      <c r="C129" s="40"/>
      <c r="D129" s="40"/>
      <c r="E129" s="40"/>
      <c r="F129" s="40"/>
      <c r="G129" s="40"/>
      <c r="H129" s="40"/>
      <c r="I129" s="40"/>
    </row>
    <row r="130" spans="1:9" s="40" customFormat="1" x14ac:dyDescent="0.25">
      <c r="A130" s="81"/>
      <c r="B130" s="82"/>
      <c r="C130" s="82"/>
      <c r="D130" s="82"/>
      <c r="E130" s="82"/>
      <c r="F130" s="82"/>
      <c r="G130" s="82"/>
      <c r="H130" s="82"/>
      <c r="I130" s="82"/>
    </row>
    <row r="131" spans="1:9" s="40" customFormat="1" x14ac:dyDescent="0.25">
      <c r="A131" s="81"/>
      <c r="B131" s="82"/>
      <c r="C131" s="82"/>
      <c r="D131" s="82"/>
      <c r="E131" s="82"/>
      <c r="F131" s="82"/>
      <c r="G131" s="82"/>
      <c r="H131" s="82"/>
      <c r="I131" s="82"/>
    </row>
    <row r="132" spans="1:9" s="40" customFormat="1" x14ac:dyDescent="0.25">
      <c r="A132" s="81"/>
      <c r="B132" s="82"/>
      <c r="C132" s="82"/>
      <c r="D132" s="82"/>
      <c r="E132" s="82"/>
      <c r="F132" s="82"/>
      <c r="G132" s="82"/>
      <c r="H132" s="82"/>
      <c r="I132" s="82"/>
    </row>
    <row r="133" spans="1:9" s="40" customFormat="1" x14ac:dyDescent="0.25">
      <c r="A133" s="81"/>
      <c r="B133" s="82"/>
      <c r="C133" s="82"/>
      <c r="D133" s="82"/>
      <c r="E133" s="82"/>
      <c r="F133" s="82"/>
      <c r="G133" s="82"/>
      <c r="H133" s="82"/>
      <c r="I133" s="82"/>
    </row>
    <row r="134" spans="1:9" s="40" customFormat="1" x14ac:dyDescent="0.25">
      <c r="A134" s="81"/>
      <c r="B134" s="82"/>
      <c r="C134" s="82"/>
      <c r="D134" s="82"/>
      <c r="E134" s="82"/>
      <c r="F134" s="82"/>
      <c r="G134" s="82"/>
      <c r="H134" s="82"/>
      <c r="I134" s="82"/>
    </row>
    <row r="135" spans="1:9" s="4" customFormat="1" x14ac:dyDescent="0.25">
      <c r="A135" s="81"/>
      <c r="B135" s="82"/>
      <c r="C135" s="82"/>
      <c r="D135" s="82"/>
      <c r="E135" s="82"/>
      <c r="F135" s="82"/>
      <c r="G135" s="82"/>
      <c r="H135" s="82"/>
      <c r="I135" s="82"/>
    </row>
    <row r="136" spans="1:9" s="4" customFormat="1" x14ac:dyDescent="0.25"/>
    <row r="137" spans="1:9" s="4" customFormat="1" x14ac:dyDescent="0.25"/>
    <row r="138" spans="1:9" s="4" customFormat="1" x14ac:dyDescent="0.25"/>
    <row r="143" spans="1:9" x14ac:dyDescent="0.25">
      <c r="E143" s="4"/>
    </row>
  </sheetData>
  <mergeCells count="14">
    <mergeCell ref="A36:E36"/>
    <mergeCell ref="A37:XFD37"/>
    <mergeCell ref="A70:I70"/>
    <mergeCell ref="A101:E101"/>
    <mergeCell ref="A1:E1"/>
    <mergeCell ref="A2:E2"/>
    <mergeCell ref="A3:E3"/>
    <mergeCell ref="A34:E34"/>
    <mergeCell ref="A35:E35"/>
    <mergeCell ref="A67:E67"/>
    <mergeCell ref="A68:E68"/>
    <mergeCell ref="A69:E69"/>
    <mergeCell ref="A99:E99"/>
    <mergeCell ref="A100:E100"/>
  </mergeCells>
  <phoneticPr fontId="0" type="noConversion"/>
  <pageMargins left="0.3" right="0.15748031496062992" top="0.62" bottom="1.07" header="0.26" footer="0.31496062992125984"/>
  <pageSetup paperSize="9" scale="66" firstPageNumber="0" orientation="landscape" useFirstPageNumber="1" r:id="rId1"/>
  <rowBreaks count="2" manualBreakCount="2">
    <brk id="84" max="10" man="1"/>
    <brk id="12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81"/>
  <sheetViews>
    <sheetView zoomScaleNormal="100" workbookViewId="0">
      <selection activeCell="A4" sqref="A4"/>
    </sheetView>
  </sheetViews>
  <sheetFormatPr defaultRowHeight="15" x14ac:dyDescent="0.25"/>
  <cols>
    <col min="1" max="1" width="9.7109375" customWidth="1"/>
    <col min="2" max="2" width="30.85546875" customWidth="1"/>
    <col min="3" max="3" width="11.5703125" style="91" customWidth="1"/>
    <col min="4" max="4" width="14.28515625" bestFit="1" customWidth="1"/>
    <col min="5" max="6" width="11" hidden="1" customWidth="1"/>
    <col min="7" max="7" width="16.85546875" hidden="1" customWidth="1"/>
    <col min="8" max="8" width="18" hidden="1" customWidth="1"/>
    <col min="9" max="9" width="17.42578125" style="11" hidden="1" customWidth="1"/>
    <col min="10" max="11" width="16.85546875" hidden="1" customWidth="1"/>
    <col min="12" max="12" width="18.42578125" hidden="1" customWidth="1"/>
    <col min="13" max="14" width="8.85546875" customWidth="1"/>
  </cols>
  <sheetData>
    <row r="1" spans="1:10" s="3" customFormat="1" ht="15.75" x14ac:dyDescent="0.25">
      <c r="A1" s="333" t="s">
        <v>21</v>
      </c>
      <c r="B1" s="334"/>
      <c r="C1" s="334"/>
      <c r="D1" s="334"/>
      <c r="E1" s="334"/>
      <c r="F1" s="334"/>
      <c r="G1" s="121"/>
      <c r="H1" s="121"/>
      <c r="I1" s="121"/>
      <c r="J1" s="4"/>
    </row>
    <row r="2" spans="1:10" s="3" customFormat="1" ht="30" customHeight="1" x14ac:dyDescent="0.25">
      <c r="A2" s="375" t="s">
        <v>274</v>
      </c>
      <c r="B2" s="376"/>
      <c r="C2" s="376"/>
      <c r="D2" s="376"/>
      <c r="E2" s="376"/>
      <c r="F2" s="376"/>
      <c r="G2" s="42"/>
      <c r="H2" s="42"/>
      <c r="I2" s="42"/>
      <c r="J2" s="4"/>
    </row>
    <row r="3" spans="1:10" s="3" customFormat="1" ht="15.75" x14ac:dyDescent="0.25">
      <c r="A3" s="336" t="s">
        <v>353</v>
      </c>
      <c r="B3" s="337"/>
      <c r="C3" s="337"/>
      <c r="D3" s="337"/>
      <c r="E3" s="337"/>
      <c r="F3" s="337"/>
      <c r="G3" s="42"/>
      <c r="H3" s="42"/>
      <c r="I3" s="42"/>
    </row>
    <row r="4" spans="1:10" x14ac:dyDescent="0.25">
      <c r="A4" s="11"/>
      <c r="B4" s="11"/>
      <c r="C4" s="243"/>
      <c r="D4" s="11"/>
      <c r="E4" s="11"/>
      <c r="F4" s="11"/>
    </row>
    <row r="5" spans="1:10" x14ac:dyDescent="0.25">
      <c r="A5" s="134"/>
      <c r="B5" s="135"/>
      <c r="C5" s="373" t="s">
        <v>16</v>
      </c>
      <c r="D5" s="374"/>
      <c r="E5" s="373" t="s">
        <v>25</v>
      </c>
      <c r="F5" s="374"/>
    </row>
    <row r="6" spans="1:10" x14ac:dyDescent="0.25">
      <c r="A6" s="29"/>
      <c r="B6" s="30"/>
      <c r="C6" s="263" t="s">
        <v>17</v>
      </c>
      <c r="D6" s="59" t="s">
        <v>20</v>
      </c>
      <c r="E6" s="59" t="s">
        <v>17</v>
      </c>
      <c r="F6" s="253" t="s">
        <v>20</v>
      </c>
    </row>
    <row r="7" spans="1:10" x14ac:dyDescent="0.25">
      <c r="A7" s="31" t="s">
        <v>178</v>
      </c>
      <c r="B7" s="30"/>
      <c r="C7" s="264" t="s">
        <v>102</v>
      </c>
      <c r="D7" s="60" t="s">
        <v>104</v>
      </c>
      <c r="E7" s="60" t="s">
        <v>102</v>
      </c>
      <c r="F7" s="254" t="s">
        <v>104</v>
      </c>
    </row>
    <row r="8" spans="1:10" x14ac:dyDescent="0.25">
      <c r="A8" s="31"/>
      <c r="B8" s="30"/>
      <c r="C8" s="264" t="s">
        <v>101</v>
      </c>
      <c r="D8" s="60" t="s">
        <v>103</v>
      </c>
      <c r="E8" s="60" t="s">
        <v>101</v>
      </c>
      <c r="F8" s="254" t="s">
        <v>103</v>
      </c>
    </row>
    <row r="9" spans="1:10" x14ac:dyDescent="0.25">
      <c r="A9" s="31"/>
      <c r="B9" s="30"/>
      <c r="C9" s="265">
        <v>44286</v>
      </c>
      <c r="D9" s="60" t="s">
        <v>333</v>
      </c>
      <c r="E9" s="251">
        <v>44286</v>
      </c>
      <c r="F9" s="254" t="s">
        <v>333</v>
      </c>
    </row>
    <row r="10" spans="1:10" x14ac:dyDescent="0.25">
      <c r="A10" s="32"/>
      <c r="B10" s="27"/>
      <c r="C10" s="266" t="s">
        <v>350</v>
      </c>
      <c r="D10" s="195" t="s">
        <v>350</v>
      </c>
      <c r="E10" s="195" t="s">
        <v>350</v>
      </c>
      <c r="F10" s="252" t="s">
        <v>350</v>
      </c>
      <c r="I10" s="12"/>
    </row>
    <row r="11" spans="1:10" x14ac:dyDescent="0.25">
      <c r="A11" s="131" t="s">
        <v>275</v>
      </c>
      <c r="B11" s="27"/>
      <c r="C11" s="184"/>
      <c r="D11" s="184"/>
      <c r="E11" s="184"/>
      <c r="F11" s="61"/>
      <c r="I11" s="12"/>
    </row>
    <row r="12" spans="1:10" x14ac:dyDescent="0.25">
      <c r="A12" s="131" t="s">
        <v>276</v>
      </c>
      <c r="B12" s="27"/>
      <c r="C12" s="184"/>
      <c r="D12" s="184"/>
      <c r="E12" s="184"/>
      <c r="F12" s="61"/>
      <c r="I12" s="12"/>
    </row>
    <row r="13" spans="1:10" x14ac:dyDescent="0.25">
      <c r="A13" s="365" t="s">
        <v>277</v>
      </c>
      <c r="B13" s="366"/>
      <c r="C13" s="185">
        <f>673547162.35/1000000</f>
        <v>673.54716235000001</v>
      </c>
      <c r="D13" s="185">
        <f>766834378.09/1000000</f>
        <v>766.83437809000009</v>
      </c>
      <c r="E13" s="186"/>
      <c r="F13" s="85"/>
      <c r="I13" s="12"/>
    </row>
    <row r="14" spans="1:10" x14ac:dyDescent="0.25">
      <c r="A14" s="365" t="s">
        <v>278</v>
      </c>
      <c r="B14" s="366"/>
      <c r="C14" s="185">
        <f>+(2362931334.6+256969852.12)/1000000</f>
        <v>2619.9011867199997</v>
      </c>
      <c r="D14" s="185">
        <v>2263.3171766433197</v>
      </c>
      <c r="E14" s="186"/>
      <c r="F14" s="85"/>
      <c r="I14" s="12"/>
    </row>
    <row r="15" spans="1:10" x14ac:dyDescent="0.25">
      <c r="A15" s="365" t="s">
        <v>279</v>
      </c>
      <c r="B15" s="366"/>
      <c r="C15" s="185">
        <v>0</v>
      </c>
      <c r="D15" s="185">
        <v>0</v>
      </c>
      <c r="E15" s="186"/>
      <c r="F15" s="85"/>
      <c r="I15" s="12"/>
    </row>
    <row r="16" spans="1:10" x14ac:dyDescent="0.25">
      <c r="A16" s="365" t="s">
        <v>280</v>
      </c>
      <c r="B16" s="366"/>
      <c r="C16" s="185">
        <v>0</v>
      </c>
      <c r="D16" s="185">
        <v>0</v>
      </c>
      <c r="E16" s="186"/>
      <c r="F16" s="85"/>
      <c r="I16" s="12"/>
    </row>
    <row r="17" spans="1:12" x14ac:dyDescent="0.25">
      <c r="A17" s="365" t="s">
        <v>281</v>
      </c>
      <c r="B17" s="366"/>
      <c r="C17" s="185">
        <v>0</v>
      </c>
      <c r="D17" s="185">
        <v>0</v>
      </c>
      <c r="E17" s="186"/>
      <c r="F17" s="85"/>
      <c r="G17" s="168"/>
      <c r="I17" s="12"/>
    </row>
    <row r="18" spans="1:12" x14ac:dyDescent="0.25">
      <c r="A18" s="365" t="s">
        <v>324</v>
      </c>
      <c r="B18" s="366"/>
      <c r="C18" s="189">
        <f>(138900285.56/1000000)+(682080/1000000)+((780701.31+2786882.28)/1000000)-(11695656/1000000)</f>
        <v>131.45429315000001</v>
      </c>
      <c r="D18" s="189">
        <f>149298161.99/1000000</f>
        <v>149.29816199000001</v>
      </c>
      <c r="E18" s="186"/>
      <c r="F18" s="85"/>
      <c r="I18" s="12"/>
    </row>
    <row r="19" spans="1:12" x14ac:dyDescent="0.25">
      <c r="A19" s="33" t="s">
        <v>282</v>
      </c>
      <c r="B19" s="25"/>
      <c r="C19" s="164">
        <f>SUM(C13:C18)</f>
        <v>3424.9026422199995</v>
      </c>
      <c r="D19" s="164">
        <f>SUM(D13:D18)</f>
        <v>3179.4497167233199</v>
      </c>
      <c r="E19" s="174">
        <f>SUM(E13:E18)</f>
        <v>0</v>
      </c>
      <c r="F19" s="174">
        <f>SUM(F13:F18)</f>
        <v>0</v>
      </c>
      <c r="G19" s="168"/>
      <c r="H19" s="76"/>
      <c r="I19" s="136"/>
      <c r="L19" s="11"/>
    </row>
    <row r="20" spans="1:12" x14ac:dyDescent="0.25">
      <c r="A20" s="132"/>
      <c r="B20" s="133"/>
      <c r="C20" s="157"/>
      <c r="D20" s="157"/>
      <c r="E20" s="157"/>
      <c r="F20" s="158"/>
      <c r="H20" s="76"/>
      <c r="I20" s="84"/>
      <c r="L20" s="11"/>
    </row>
    <row r="21" spans="1:12" x14ac:dyDescent="0.25">
      <c r="A21" s="131" t="s">
        <v>325</v>
      </c>
      <c r="B21" s="27"/>
      <c r="C21" s="186"/>
      <c r="D21" s="186"/>
      <c r="E21" s="186"/>
      <c r="F21" s="85"/>
      <c r="I21" s="12"/>
    </row>
    <row r="22" spans="1:12" x14ac:dyDescent="0.25">
      <c r="A22" s="365" t="s">
        <v>277</v>
      </c>
      <c r="B22" s="366"/>
      <c r="C22" s="186"/>
      <c r="D22" s="186"/>
      <c r="E22" s="186"/>
      <c r="F22" s="85"/>
      <c r="H22" s="16">
        <f>+D23+D14</f>
        <v>4414.7507160983196</v>
      </c>
      <c r="I22" s="12"/>
    </row>
    <row r="23" spans="1:12" x14ac:dyDescent="0.25">
      <c r="A23" s="365" t="s">
        <v>278</v>
      </c>
      <c r="B23" s="366"/>
      <c r="C23" s="185">
        <f>(5009448060.33+32016121.1)/1000000</f>
        <v>5041.4641814300003</v>
      </c>
      <c r="D23" s="186">
        <f>2151.433539455</f>
        <v>2151.4335394549998</v>
      </c>
      <c r="E23" s="186"/>
      <c r="F23" s="85"/>
      <c r="H23" s="16"/>
      <c r="I23" s="12"/>
      <c r="J23" s="83">
        <f>7212552192+448353880</f>
        <v>7660906072</v>
      </c>
    </row>
    <row r="24" spans="1:12" x14ac:dyDescent="0.25">
      <c r="A24" s="365" t="s">
        <v>283</v>
      </c>
      <c r="B24" s="366"/>
      <c r="C24" s="186"/>
      <c r="D24" s="186"/>
      <c r="E24" s="186"/>
      <c r="F24" s="85"/>
      <c r="H24" s="166"/>
      <c r="I24" s="12"/>
    </row>
    <row r="25" spans="1:12" x14ac:dyDescent="0.25">
      <c r="A25" s="365" t="s">
        <v>284</v>
      </c>
      <c r="B25" s="366"/>
      <c r="C25" s="186"/>
      <c r="D25" s="186"/>
      <c r="E25" s="186"/>
      <c r="F25" s="85"/>
      <c r="I25" s="262">
        <f>127204630+899563370+2491465+72608226</f>
        <v>1101867691</v>
      </c>
    </row>
    <row r="26" spans="1:12" x14ac:dyDescent="0.25">
      <c r="A26" s="365" t="s">
        <v>324</v>
      </c>
      <c r="B26" s="366"/>
      <c r="C26" s="185">
        <f>(896317191+72608226.5)/1000000</f>
        <v>968.92541749999998</v>
      </c>
      <c r="D26" s="185">
        <f>1723551133.285/1000000</f>
        <v>1723.5511332850001</v>
      </c>
      <c r="E26" s="186"/>
      <c r="F26" s="85"/>
      <c r="H26" s="16"/>
      <c r="I26" s="12"/>
    </row>
    <row r="27" spans="1:12" x14ac:dyDescent="0.25">
      <c r="A27" s="33" t="s">
        <v>282</v>
      </c>
      <c r="B27" s="25"/>
      <c r="C27" s="164">
        <f>SUM(C21:C26)</f>
        <v>6010.3895989299999</v>
      </c>
      <c r="D27" s="164">
        <f>SUM(D21:D26)</f>
        <v>3874.98467274</v>
      </c>
      <c r="E27" s="164">
        <f>SUM(E21:E26)</f>
        <v>0</v>
      </c>
      <c r="F27" s="164">
        <f>SUM(F21:F26)</f>
        <v>0</v>
      </c>
      <c r="H27" s="76"/>
      <c r="I27" s="84"/>
      <c r="L27" s="11"/>
    </row>
    <row r="28" spans="1:12" x14ac:dyDescent="0.25">
      <c r="A28" s="132" t="s">
        <v>82</v>
      </c>
      <c r="B28" s="133"/>
      <c r="C28" s="164">
        <f>+C19+C27</f>
        <v>9435.2922411500003</v>
      </c>
      <c r="D28" s="164">
        <f>+D19+D27</f>
        <v>7054.4343894633203</v>
      </c>
      <c r="E28" s="164">
        <f>+E19+E27</f>
        <v>0</v>
      </c>
      <c r="F28" s="164">
        <f>+F19+F27</f>
        <v>0</v>
      </c>
      <c r="H28" s="76"/>
      <c r="I28" s="84"/>
      <c r="L28" s="11"/>
    </row>
    <row r="29" spans="1:12" x14ac:dyDescent="0.25">
      <c r="A29" s="138"/>
      <c r="B29" s="137"/>
      <c r="C29" s="187"/>
      <c r="D29" s="187"/>
      <c r="E29" s="187"/>
      <c r="F29" s="86"/>
    </row>
    <row r="30" spans="1:12" x14ac:dyDescent="0.25">
      <c r="A30" s="131" t="s">
        <v>285</v>
      </c>
      <c r="B30" s="27"/>
      <c r="C30" s="186"/>
      <c r="D30" s="186"/>
      <c r="E30" s="186"/>
      <c r="F30" s="85"/>
    </row>
    <row r="31" spans="1:12" x14ac:dyDescent="0.25">
      <c r="A31" s="131" t="s">
        <v>276</v>
      </c>
      <c r="B31" s="27"/>
      <c r="C31" s="186"/>
      <c r="D31" s="186"/>
      <c r="E31" s="186"/>
      <c r="F31" s="85"/>
      <c r="I31"/>
      <c r="J31" s="11" t="s">
        <v>340</v>
      </c>
      <c r="K31" s="256" t="s">
        <v>341</v>
      </c>
      <c r="L31" s="256" t="s">
        <v>342</v>
      </c>
    </row>
    <row r="32" spans="1:12" x14ac:dyDescent="0.25">
      <c r="A32" s="365" t="s">
        <v>283</v>
      </c>
      <c r="B32" s="366"/>
      <c r="C32" s="185"/>
      <c r="D32" s="185"/>
      <c r="E32" s="185"/>
      <c r="F32" s="155"/>
      <c r="H32" t="s">
        <v>352</v>
      </c>
      <c r="I32" t="s">
        <v>354</v>
      </c>
      <c r="J32" t="s">
        <v>352</v>
      </c>
      <c r="K32" t="s">
        <v>352</v>
      </c>
      <c r="L32" t="s">
        <v>352</v>
      </c>
    </row>
    <row r="33" spans="1:12" x14ac:dyDescent="0.25">
      <c r="A33" s="365" t="s">
        <v>284</v>
      </c>
      <c r="B33" s="366"/>
      <c r="C33" s="185"/>
      <c r="D33" s="185">
        <v>0</v>
      </c>
      <c r="E33" s="185"/>
      <c r="F33" s="155"/>
      <c r="G33" t="s">
        <v>338</v>
      </c>
      <c r="H33" s="166">
        <v>682080</v>
      </c>
      <c r="I33" s="166">
        <v>543200</v>
      </c>
      <c r="J33" s="259">
        <v>40500</v>
      </c>
      <c r="K33" s="258">
        <v>682080</v>
      </c>
      <c r="L33" s="168">
        <v>0</v>
      </c>
    </row>
    <row r="34" spans="1:12" x14ac:dyDescent="0.25">
      <c r="A34" s="365" t="s">
        <v>286</v>
      </c>
      <c r="B34" s="366"/>
      <c r="C34" s="185">
        <f>1164958372.21/1000000</f>
        <v>1164.9583722100001</v>
      </c>
      <c r="D34" s="185">
        <f>193709270.27/1000000</f>
        <v>193.70927027000002</v>
      </c>
      <c r="E34" s="185"/>
      <c r="F34" s="155"/>
      <c r="G34" t="s">
        <v>335</v>
      </c>
      <c r="H34" s="166">
        <v>288985973.22000003</v>
      </c>
      <c r="I34" s="166">
        <v>206992469.88999999</v>
      </c>
      <c r="J34" s="259">
        <f>+K34+L34</f>
        <v>288985973.22000003</v>
      </c>
      <c r="K34" s="257">
        <v>256969852.12</v>
      </c>
      <c r="L34" s="261">
        <v>32016121.100000001</v>
      </c>
    </row>
    <row r="35" spans="1:12" x14ac:dyDescent="0.25">
      <c r="A35" s="365" t="s">
        <v>326</v>
      </c>
      <c r="B35" s="366"/>
      <c r="C35" s="185"/>
      <c r="D35" s="185"/>
      <c r="E35" s="185"/>
      <c r="F35" s="155"/>
      <c r="G35" t="s">
        <v>336</v>
      </c>
      <c r="H35" s="166">
        <v>9157319843.9200001</v>
      </c>
      <c r="I35" s="166">
        <v>6868926071</v>
      </c>
      <c r="J35" s="259">
        <f>+K35+L35</f>
        <v>9157319843.9200001</v>
      </c>
      <c r="K35" s="257">
        <v>3178946366.0999999</v>
      </c>
      <c r="L35" s="261">
        <v>5978373477.8199997</v>
      </c>
    </row>
    <row r="36" spans="1:12" x14ac:dyDescent="0.25">
      <c r="A36" s="365" t="s">
        <v>327</v>
      </c>
      <c r="B36" s="366"/>
      <c r="C36" s="185"/>
      <c r="D36" s="185"/>
      <c r="E36" s="185"/>
      <c r="F36" s="155"/>
      <c r="G36" t="s">
        <v>337</v>
      </c>
      <c r="H36" s="166">
        <v>11695656</v>
      </c>
      <c r="I36" s="166">
        <v>22027351.379999999</v>
      </c>
      <c r="J36" s="259">
        <f>+K36+L36</f>
        <v>11695656</v>
      </c>
      <c r="K36" s="257">
        <v>11695656</v>
      </c>
      <c r="L36" s="168">
        <v>0</v>
      </c>
    </row>
    <row r="37" spans="1:12" x14ac:dyDescent="0.25">
      <c r="A37" s="365" t="s">
        <v>328</v>
      </c>
      <c r="B37" s="366"/>
      <c r="C37" s="185"/>
      <c r="D37" s="185"/>
      <c r="E37" s="185"/>
      <c r="F37" s="155"/>
      <c r="H37" s="166">
        <f>+H34+H35-H36+H33</f>
        <v>9435292241.1399994</v>
      </c>
      <c r="I37" s="166">
        <f>+I34+I35-I36+I33</f>
        <v>7054434389.5100002</v>
      </c>
      <c r="J37" s="260">
        <f>+J34+J35-J36+J33</f>
        <v>9434650661.1399994</v>
      </c>
      <c r="K37" s="83">
        <f>+K34+K35-K36+K33</f>
        <v>3424902642.2199998</v>
      </c>
      <c r="L37" s="168">
        <f>SUM(L33:L36)</f>
        <v>6010389598.9200001</v>
      </c>
    </row>
    <row r="38" spans="1:12" x14ac:dyDescent="0.25">
      <c r="A38" s="33" t="s">
        <v>282</v>
      </c>
      <c r="B38" s="25"/>
      <c r="C38" s="174">
        <f>SUM(C32:C37)</f>
        <v>1164.9583722100001</v>
      </c>
      <c r="D38" s="174">
        <f>SUM(D32:D37)</f>
        <v>193.70927027000002</v>
      </c>
      <c r="E38" s="174">
        <f>SUM(E32:E36)</f>
        <v>0</v>
      </c>
      <c r="F38" s="174">
        <f>SUM(F32:F36)</f>
        <v>0</v>
      </c>
    </row>
    <row r="39" spans="1:12" x14ac:dyDescent="0.25">
      <c r="A39" s="367"/>
      <c r="B39" s="368"/>
      <c r="C39" s="157"/>
      <c r="D39" s="157"/>
      <c r="E39" s="157"/>
      <c r="F39" s="158"/>
    </row>
    <row r="40" spans="1:12" x14ac:dyDescent="0.25">
      <c r="A40" s="131" t="s">
        <v>325</v>
      </c>
      <c r="B40" s="27"/>
      <c r="C40" s="186"/>
      <c r="D40" s="186"/>
      <c r="E40" s="186"/>
      <c r="F40" s="85"/>
    </row>
    <row r="41" spans="1:12" x14ac:dyDescent="0.25">
      <c r="A41" s="365" t="s">
        <v>283</v>
      </c>
      <c r="B41" s="366"/>
      <c r="C41" s="185"/>
      <c r="D41" s="185"/>
      <c r="E41" s="186"/>
      <c r="F41" s="85"/>
    </row>
    <row r="42" spans="1:12" x14ac:dyDescent="0.25">
      <c r="A42" s="365" t="s">
        <v>284</v>
      </c>
      <c r="B42" s="366"/>
      <c r="C42" s="185"/>
      <c r="D42" s="185"/>
      <c r="E42" s="186"/>
      <c r="F42" s="85"/>
    </row>
    <row r="43" spans="1:12" x14ac:dyDescent="0.25">
      <c r="A43" s="371" t="s">
        <v>286</v>
      </c>
      <c r="B43" s="372"/>
      <c r="C43" s="185"/>
      <c r="D43" s="185"/>
      <c r="E43" s="186"/>
      <c r="F43" s="85"/>
    </row>
    <row r="44" spans="1:12" x14ac:dyDescent="0.25">
      <c r="A44" s="365" t="s">
        <v>326</v>
      </c>
      <c r="B44" s="366"/>
      <c r="C44" s="185">
        <f>880147058.823529/1000000</f>
        <v>880.14705882352905</v>
      </c>
      <c r="D44" s="185">
        <f>1143909411.76471/1000000</f>
        <v>1143.9094117647101</v>
      </c>
      <c r="E44" s="186"/>
      <c r="F44" s="85"/>
    </row>
    <row r="45" spans="1:12" x14ac:dyDescent="0.25">
      <c r="A45" s="365" t="s">
        <v>327</v>
      </c>
      <c r="B45" s="366"/>
      <c r="C45" s="185">
        <f>2111998980.16647/1000000</f>
        <v>2111.9989801664701</v>
      </c>
      <c r="D45" s="185">
        <f>2006470588.23529/1000000</f>
        <v>2006.4705882352901</v>
      </c>
      <c r="E45" s="186"/>
      <c r="F45" s="85"/>
    </row>
    <row r="46" spans="1:12" x14ac:dyDescent="0.25">
      <c r="A46" s="365" t="s">
        <v>328</v>
      </c>
      <c r="B46" s="366"/>
      <c r="C46" s="185"/>
      <c r="D46" s="185"/>
      <c r="E46" s="186"/>
      <c r="F46" s="85"/>
    </row>
    <row r="47" spans="1:12" x14ac:dyDescent="0.25">
      <c r="A47" s="33" t="s">
        <v>282</v>
      </c>
      <c r="B47" s="25"/>
      <c r="C47" s="156">
        <f>SUM(C41:C46)</f>
        <v>2992.1460389899994</v>
      </c>
      <c r="D47" s="156">
        <f>SUM(D40:D45)</f>
        <v>3150.38</v>
      </c>
      <c r="E47" s="156">
        <f>SUM(E40:E45)</f>
        <v>0</v>
      </c>
      <c r="F47" s="156">
        <f>SUM(F40:F45)</f>
        <v>0</v>
      </c>
    </row>
    <row r="48" spans="1:12" ht="15.75" thickBot="1" x14ac:dyDescent="0.3">
      <c r="A48" s="139" t="s">
        <v>82</v>
      </c>
      <c r="B48" s="140"/>
      <c r="C48" s="159">
        <f>+C38+C47</f>
        <v>4157.1044112</v>
      </c>
      <c r="D48" s="159">
        <f>+D38+D47</f>
        <v>3344.0892702700003</v>
      </c>
      <c r="E48" s="159">
        <f>+E38+E47</f>
        <v>0</v>
      </c>
      <c r="F48" s="159">
        <f>+F38+F47</f>
        <v>0</v>
      </c>
    </row>
    <row r="49" spans="1:8" x14ac:dyDescent="0.25">
      <c r="A49" s="369"/>
      <c r="B49" s="370"/>
      <c r="C49" s="157"/>
      <c r="D49" s="161"/>
      <c r="E49" s="161"/>
      <c r="F49" s="162"/>
    </row>
    <row r="50" spans="1:8" x14ac:dyDescent="0.25">
      <c r="A50" s="363" t="s">
        <v>287</v>
      </c>
      <c r="B50" s="364"/>
      <c r="C50" s="186"/>
      <c r="D50" s="186"/>
      <c r="E50" s="186"/>
      <c r="F50" s="85"/>
    </row>
    <row r="51" spans="1:8" x14ac:dyDescent="0.25">
      <c r="A51" s="363" t="s">
        <v>288</v>
      </c>
      <c r="B51" s="364"/>
      <c r="C51" s="186"/>
      <c r="D51" s="186"/>
      <c r="E51" s="186"/>
      <c r="F51" s="85"/>
    </row>
    <row r="52" spans="1:8" x14ac:dyDescent="0.25">
      <c r="A52" s="363" t="s">
        <v>289</v>
      </c>
      <c r="B52" s="364"/>
      <c r="C52" s="186"/>
      <c r="D52" s="186"/>
      <c r="E52" s="186"/>
      <c r="F52" s="85"/>
    </row>
    <row r="53" spans="1:8" x14ac:dyDescent="0.25">
      <c r="A53" s="363" t="s">
        <v>290</v>
      </c>
      <c r="B53" s="364"/>
      <c r="C53" s="186"/>
      <c r="D53" s="186"/>
      <c r="E53" s="186"/>
      <c r="F53" s="85"/>
    </row>
    <row r="54" spans="1:8" x14ac:dyDescent="0.25">
      <c r="A54" s="365" t="s">
        <v>291</v>
      </c>
      <c r="B54" s="366"/>
      <c r="C54" s="185">
        <f>+C64</f>
        <v>7.1346130000000008</v>
      </c>
      <c r="D54" s="185">
        <f>+D64</f>
        <v>43.195867</v>
      </c>
      <c r="E54" s="186"/>
      <c r="F54" s="85"/>
    </row>
    <row r="55" spans="1:8" x14ac:dyDescent="0.25">
      <c r="A55" s="365" t="s">
        <v>293</v>
      </c>
      <c r="B55" s="366"/>
      <c r="C55" s="185">
        <f>+C70</f>
        <v>0</v>
      </c>
      <c r="D55" s="185">
        <f>+D70</f>
        <v>0.2901069999999919</v>
      </c>
      <c r="E55" s="186"/>
      <c r="F55" s="85"/>
    </row>
    <row r="56" spans="1:8" x14ac:dyDescent="0.25">
      <c r="A56" s="365" t="s">
        <v>292</v>
      </c>
      <c r="B56" s="366"/>
      <c r="C56" s="185">
        <f>+C76</f>
        <v>62.505128999999982</v>
      </c>
      <c r="D56" s="185">
        <f>+D76</f>
        <v>234.73412000000002</v>
      </c>
      <c r="E56" s="186"/>
      <c r="F56" s="85"/>
    </row>
    <row r="57" spans="1:8" x14ac:dyDescent="0.25">
      <c r="A57" s="33" t="s">
        <v>295</v>
      </c>
      <c r="B57" s="25"/>
      <c r="C57" s="156"/>
      <c r="D57" s="156"/>
      <c r="E57" s="156"/>
      <c r="F57" s="156"/>
    </row>
    <row r="58" spans="1:8" ht="15.75" thickBot="1" x14ac:dyDescent="0.3">
      <c r="A58" s="139" t="s">
        <v>294</v>
      </c>
      <c r="B58" s="140"/>
      <c r="C58" s="160">
        <f>+C28+C48-C54-C55-C56</f>
        <v>13522.756910350001</v>
      </c>
      <c r="D58" s="160">
        <f>+D28+D48-D54-D55-D56</f>
        <v>10120.30356573332</v>
      </c>
      <c r="E58" s="159">
        <f>SUM(E54:E57)</f>
        <v>0</v>
      </c>
      <c r="F58" s="160">
        <f>SUM(F54:F57)</f>
        <v>0</v>
      </c>
    </row>
    <row r="59" spans="1:8" x14ac:dyDescent="0.25">
      <c r="A59" s="377" t="s">
        <v>296</v>
      </c>
      <c r="B59" s="378"/>
      <c r="C59" s="188"/>
      <c r="D59" s="188"/>
      <c r="E59" s="186"/>
      <c r="F59" s="163"/>
    </row>
    <row r="60" spans="1:8" x14ac:dyDescent="0.25">
      <c r="A60" s="363" t="s">
        <v>297</v>
      </c>
      <c r="B60" s="364"/>
      <c r="C60" s="186">
        <f>2922166/1000000+4305189/1000000</f>
        <v>7.2273550000000002</v>
      </c>
      <c r="D60" s="186">
        <f>2922166/1000000+4305189/1000000</f>
        <v>7.2273550000000002</v>
      </c>
      <c r="E60" s="186"/>
      <c r="F60" s="85"/>
    </row>
    <row r="61" spans="1:8" x14ac:dyDescent="0.25">
      <c r="A61" s="365" t="s">
        <v>298</v>
      </c>
      <c r="B61" s="366"/>
      <c r="C61" s="185">
        <f>10786/1000000</f>
        <v>1.0786E-2</v>
      </c>
      <c r="D61" s="185">
        <f>38144.174/1000</f>
        <v>38.144174</v>
      </c>
      <c r="E61" s="186"/>
      <c r="F61" s="85"/>
    </row>
    <row r="62" spans="1:8" x14ac:dyDescent="0.25">
      <c r="A62" s="365" t="s">
        <v>299</v>
      </c>
      <c r="B62" s="366"/>
      <c r="C62" s="185">
        <f>-103528/1000000</f>
        <v>-0.103528</v>
      </c>
      <c r="D62" s="185">
        <f>-2175662/1000000</f>
        <v>-2.175662</v>
      </c>
      <c r="E62" s="186"/>
      <c r="F62" s="85"/>
    </row>
    <row r="63" spans="1:8" x14ac:dyDescent="0.25">
      <c r="A63" s="365" t="s">
        <v>300</v>
      </c>
      <c r="B63" s="366"/>
      <c r="C63" s="185">
        <v>0</v>
      </c>
      <c r="D63" s="185">
        <v>0</v>
      </c>
      <c r="E63" s="186"/>
      <c r="F63" s="85"/>
      <c r="G63" s="190"/>
    </row>
    <row r="64" spans="1:8" ht="13.5" customHeight="1" x14ac:dyDescent="0.25">
      <c r="A64" s="365" t="s">
        <v>339</v>
      </c>
      <c r="B64" s="366"/>
      <c r="C64" s="186">
        <f>SUM(C60:C63)</f>
        <v>7.1346130000000008</v>
      </c>
      <c r="D64" s="186">
        <f>SUM(D60:D63)</f>
        <v>43.195867</v>
      </c>
      <c r="E64" s="185">
        <f>SUM(E61:E63)</f>
        <v>0</v>
      </c>
      <c r="F64" s="155">
        <f>SUM(F61:F63)</f>
        <v>0</v>
      </c>
      <c r="G64" s="190"/>
      <c r="H64" s="168"/>
    </row>
    <row r="65" spans="1:8" x14ac:dyDescent="0.25">
      <c r="A65" s="365"/>
      <c r="B65" s="366"/>
      <c r="C65" s="186"/>
      <c r="D65" s="186"/>
      <c r="E65" s="186"/>
      <c r="F65" s="85"/>
    </row>
    <row r="66" spans="1:8" x14ac:dyDescent="0.25">
      <c r="A66" s="363" t="s">
        <v>301</v>
      </c>
      <c r="B66" s="364"/>
      <c r="C66" s="186">
        <f>290107/1000000</f>
        <v>0.290107</v>
      </c>
      <c r="D66" s="185">
        <f>80506317/1000000</f>
        <v>80.506316999999996</v>
      </c>
      <c r="E66" s="186"/>
      <c r="F66" s="85"/>
      <c r="H66" s="255"/>
    </row>
    <row r="67" spans="1:8" x14ac:dyDescent="0.25">
      <c r="A67" s="365" t="s">
        <v>298</v>
      </c>
      <c r="B67" s="366"/>
      <c r="C67" s="185">
        <f>-290107/1000000</f>
        <v>-0.290107</v>
      </c>
      <c r="D67" s="185">
        <f>-80216210/1000000</f>
        <v>-80.216210000000004</v>
      </c>
      <c r="E67" s="186"/>
      <c r="F67" s="85"/>
    </row>
    <row r="68" spans="1:8" x14ac:dyDescent="0.25">
      <c r="A68" s="365" t="s">
        <v>299</v>
      </c>
      <c r="B68" s="366"/>
      <c r="C68" s="186">
        <v>0</v>
      </c>
      <c r="D68" s="186">
        <v>0</v>
      </c>
      <c r="E68" s="186"/>
      <c r="F68" s="85"/>
    </row>
    <row r="69" spans="1:8" x14ac:dyDescent="0.25">
      <c r="A69" s="365" t="s">
        <v>300</v>
      </c>
      <c r="B69" s="366"/>
      <c r="C69" s="185">
        <v>0</v>
      </c>
      <c r="D69" s="185">
        <v>0</v>
      </c>
      <c r="E69" s="186"/>
      <c r="F69" s="85"/>
    </row>
    <row r="70" spans="1:8" x14ac:dyDescent="0.25">
      <c r="A70" s="365" t="s">
        <v>339</v>
      </c>
      <c r="B70" s="366"/>
      <c r="C70" s="186">
        <f>SUM(C66:C69)</f>
        <v>0</v>
      </c>
      <c r="D70" s="186">
        <f>SUM(D66:D69)</f>
        <v>0.2901069999999919</v>
      </c>
      <c r="E70" s="185">
        <f>SUM(E67:E69)</f>
        <v>0</v>
      </c>
      <c r="F70" s="155">
        <f>SUM(F67:F69)</f>
        <v>0</v>
      </c>
    </row>
    <row r="71" spans="1:8" x14ac:dyDescent="0.25">
      <c r="A71" s="365"/>
      <c r="B71" s="366"/>
      <c r="C71" s="186"/>
      <c r="D71" s="186"/>
      <c r="E71" s="186"/>
      <c r="F71" s="85"/>
    </row>
    <row r="72" spans="1:8" x14ac:dyDescent="0.25">
      <c r="A72" s="363" t="s">
        <v>302</v>
      </c>
      <c r="B72" s="364"/>
      <c r="C72" s="186">
        <f>234734120/1000000</f>
        <v>234.73411999999999</v>
      </c>
      <c r="D72" s="186">
        <f>96266062/1000000</f>
        <v>96.266062000000005</v>
      </c>
      <c r="E72" s="186"/>
      <c r="F72" s="85"/>
    </row>
    <row r="73" spans="1:8" x14ac:dyDescent="0.25">
      <c r="A73" s="365" t="s">
        <v>298</v>
      </c>
      <c r="B73" s="366"/>
      <c r="C73" s="185">
        <f>-172228991/1000000</f>
        <v>-172.22899100000001</v>
      </c>
      <c r="D73" s="186">
        <v>0</v>
      </c>
      <c r="E73" s="186"/>
      <c r="F73" s="85"/>
    </row>
    <row r="74" spans="1:8" x14ac:dyDescent="0.25">
      <c r="A74" s="365" t="s">
        <v>299</v>
      </c>
      <c r="B74" s="366"/>
      <c r="C74" s="186">
        <v>0</v>
      </c>
      <c r="D74" s="186">
        <v>0</v>
      </c>
      <c r="E74" s="186"/>
      <c r="F74" s="85"/>
    </row>
    <row r="75" spans="1:8" x14ac:dyDescent="0.25">
      <c r="A75" s="365" t="s">
        <v>300</v>
      </c>
      <c r="B75" s="366"/>
      <c r="C75" s="185">
        <v>0</v>
      </c>
      <c r="D75" s="185">
        <f>138468058/1000000</f>
        <v>138.46805800000001</v>
      </c>
      <c r="E75" s="186"/>
      <c r="F75" s="85"/>
    </row>
    <row r="76" spans="1:8" x14ac:dyDescent="0.25">
      <c r="A76" s="365" t="s">
        <v>339</v>
      </c>
      <c r="B76" s="366"/>
      <c r="C76" s="186">
        <f>SUM(C72:C75)</f>
        <v>62.505128999999982</v>
      </c>
      <c r="D76" s="186">
        <f>SUM(D72:D75)</f>
        <v>234.73412000000002</v>
      </c>
      <c r="E76" s="185">
        <f>SUM(E73:E75)</f>
        <v>0</v>
      </c>
      <c r="F76" s="155">
        <f>SUM(F73:F75)</f>
        <v>0</v>
      </c>
      <c r="G76" s="190"/>
      <c r="H76" s="16"/>
    </row>
    <row r="77" spans="1:8" x14ac:dyDescent="0.25">
      <c r="A77" s="365"/>
      <c r="B77" s="366"/>
      <c r="C77" s="186"/>
      <c r="D77" s="186"/>
      <c r="E77" s="186"/>
      <c r="F77" s="85"/>
      <c r="H77" s="168"/>
    </row>
    <row r="78" spans="1:8" ht="15.75" thickBot="1" x14ac:dyDescent="0.3">
      <c r="A78" s="142" t="s">
        <v>303</v>
      </c>
      <c r="B78" s="141"/>
      <c r="C78" s="159">
        <f>+C64+C70+C76</f>
        <v>69.639741999999984</v>
      </c>
      <c r="D78" s="159">
        <f>+D64+D70+D76</f>
        <v>278.22009400000002</v>
      </c>
      <c r="E78" s="159">
        <f>+E64+E70+E76</f>
        <v>0</v>
      </c>
      <c r="F78" s="159">
        <f>+F64+F70+F76</f>
        <v>0</v>
      </c>
    </row>
    <row r="81" spans="3:4" x14ac:dyDescent="0.25">
      <c r="C81" s="197"/>
      <c r="D81" s="83"/>
    </row>
  </sheetData>
  <mergeCells count="56">
    <mergeCell ref="A75:B75"/>
    <mergeCell ref="A76:B76"/>
    <mergeCell ref="A77:B77"/>
    <mergeCell ref="A70:B70"/>
    <mergeCell ref="A71:B71"/>
    <mergeCell ref="A72:B72"/>
    <mergeCell ref="A73:B73"/>
    <mergeCell ref="A74:B74"/>
    <mergeCell ref="A65:B65"/>
    <mergeCell ref="A66:B66"/>
    <mergeCell ref="A67:B67"/>
    <mergeCell ref="A68:B68"/>
    <mergeCell ref="A69:B69"/>
    <mergeCell ref="A59:B59"/>
    <mergeCell ref="A60:B60"/>
    <mergeCell ref="A61:B61"/>
    <mergeCell ref="A62:B62"/>
    <mergeCell ref="A64:B64"/>
    <mergeCell ref="A63:B63"/>
    <mergeCell ref="A56:B56"/>
    <mergeCell ref="A54:B54"/>
    <mergeCell ref="A55:B55"/>
    <mergeCell ref="A18:B18"/>
    <mergeCell ref="A2:F2"/>
    <mergeCell ref="A14:B14"/>
    <mergeCell ref="A15:B15"/>
    <mergeCell ref="A16:B16"/>
    <mergeCell ref="A17:B17"/>
    <mergeCell ref="A22:B22"/>
    <mergeCell ref="A23:B23"/>
    <mergeCell ref="A26:B26"/>
    <mergeCell ref="A24:B24"/>
    <mergeCell ref="A25:B25"/>
    <mergeCell ref="A32:B32"/>
    <mergeCell ref="A33:B33"/>
    <mergeCell ref="A1:F1"/>
    <mergeCell ref="A3:F3"/>
    <mergeCell ref="C5:D5"/>
    <mergeCell ref="E5:F5"/>
    <mergeCell ref="A13:B13"/>
    <mergeCell ref="A34:B34"/>
    <mergeCell ref="A35:B35"/>
    <mergeCell ref="A36:B36"/>
    <mergeCell ref="A51:B51"/>
    <mergeCell ref="A52:B52"/>
    <mergeCell ref="A37:B37"/>
    <mergeCell ref="A53:B53"/>
    <mergeCell ref="A45:B45"/>
    <mergeCell ref="A39:B39"/>
    <mergeCell ref="A49:B49"/>
    <mergeCell ref="A50:B50"/>
    <mergeCell ref="A41:B41"/>
    <mergeCell ref="A42:B42"/>
    <mergeCell ref="A43:B43"/>
    <mergeCell ref="A44:B44"/>
    <mergeCell ref="A46:B46"/>
  </mergeCells>
  <phoneticPr fontId="0" type="noConversion"/>
  <pageMargins left="0.70866141732283472" right="0.70866141732283472" top="0.74803149606299213" bottom="0.74803149606299213" header="0.31496062992125984" footer="0.31496062992125984"/>
  <pageSetup paperSize="9" scale="98" fitToHeight="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39"/>
  <sheetViews>
    <sheetView zoomScaleNormal="100" workbookViewId="0">
      <selection activeCell="A3" sqref="A3:F3"/>
    </sheetView>
  </sheetViews>
  <sheetFormatPr defaultRowHeight="15" x14ac:dyDescent="0.25"/>
  <cols>
    <col min="1" max="1" width="6.5703125" customWidth="1"/>
    <col min="2" max="2" width="33.28515625" customWidth="1"/>
    <col min="3" max="3" width="11.5703125" style="267" bestFit="1" customWidth="1"/>
    <col min="4" max="4" width="10.7109375" bestFit="1" customWidth="1"/>
    <col min="5" max="5" width="10.85546875" hidden="1" customWidth="1"/>
    <col min="6" max="6" width="11.28515625" hidden="1" customWidth="1"/>
    <col min="7" max="7" width="16.85546875" bestFit="1" customWidth="1"/>
    <col min="8" max="8" width="14.28515625" bestFit="1" customWidth="1"/>
    <col min="9" max="9" width="16" bestFit="1" customWidth="1"/>
    <col min="10" max="10" width="16.85546875" bestFit="1" customWidth="1"/>
  </cols>
  <sheetData>
    <row r="1" spans="1:11" s="3" customFormat="1" ht="15.75" x14ac:dyDescent="0.25">
      <c r="A1" s="333" t="s">
        <v>21</v>
      </c>
      <c r="B1" s="334"/>
      <c r="C1" s="334"/>
      <c r="D1" s="334"/>
      <c r="E1" s="334"/>
      <c r="F1" s="334"/>
      <c r="G1" s="121"/>
      <c r="H1" s="121"/>
      <c r="I1" s="121"/>
      <c r="J1" s="121"/>
      <c r="K1" s="4"/>
    </row>
    <row r="2" spans="1:11" s="3" customFormat="1" ht="15.75" x14ac:dyDescent="0.25">
      <c r="A2" s="336" t="s">
        <v>272</v>
      </c>
      <c r="B2" s="337"/>
      <c r="C2" s="337"/>
      <c r="D2" s="337"/>
      <c r="E2" s="337"/>
      <c r="F2" s="337"/>
      <c r="G2" s="42"/>
      <c r="H2" s="42"/>
      <c r="I2" s="42"/>
      <c r="J2" s="42"/>
      <c r="K2" s="4"/>
    </row>
    <row r="3" spans="1:11" s="3" customFormat="1" ht="15.75" x14ac:dyDescent="0.25">
      <c r="A3" s="336" t="s">
        <v>353</v>
      </c>
      <c r="B3" s="337"/>
      <c r="C3" s="337"/>
      <c r="D3" s="337"/>
      <c r="E3" s="337"/>
      <c r="F3" s="337"/>
      <c r="G3" s="42"/>
      <c r="H3" s="42"/>
      <c r="I3" s="42"/>
      <c r="J3" s="42"/>
    </row>
    <row r="4" spans="1:11" ht="15.75" thickBot="1" x14ac:dyDescent="0.3"/>
    <row r="5" spans="1:11" x14ac:dyDescent="0.25">
      <c r="A5" s="28"/>
      <c r="B5" s="26"/>
      <c r="C5" s="380" t="s">
        <v>16</v>
      </c>
      <c r="D5" s="381"/>
      <c r="E5" s="380" t="s">
        <v>25</v>
      </c>
      <c r="F5" s="382"/>
    </row>
    <row r="6" spans="1:11" x14ac:dyDescent="0.25">
      <c r="A6" s="31" t="s">
        <v>178</v>
      </c>
      <c r="B6" s="30"/>
      <c r="C6" s="268" t="s">
        <v>17</v>
      </c>
      <c r="D6" s="59" t="s">
        <v>20</v>
      </c>
      <c r="E6" s="59" t="s">
        <v>17</v>
      </c>
      <c r="F6" s="62" t="s">
        <v>20</v>
      </c>
    </row>
    <row r="7" spans="1:11" x14ac:dyDescent="0.25">
      <c r="A7" s="31"/>
      <c r="B7" s="30"/>
      <c r="C7" s="269" t="s">
        <v>102</v>
      </c>
      <c r="D7" s="60" t="s">
        <v>104</v>
      </c>
      <c r="E7" s="60" t="s">
        <v>102</v>
      </c>
      <c r="F7" s="63" t="s">
        <v>104</v>
      </c>
    </row>
    <row r="8" spans="1:11" x14ac:dyDescent="0.25">
      <c r="A8" s="31"/>
      <c r="B8" s="30"/>
      <c r="C8" s="269" t="s">
        <v>101</v>
      </c>
      <c r="D8" s="60" t="s">
        <v>103</v>
      </c>
      <c r="E8" s="60" t="s">
        <v>101</v>
      </c>
      <c r="F8" s="63" t="s">
        <v>103</v>
      </c>
    </row>
    <row r="9" spans="1:11" x14ac:dyDescent="0.25">
      <c r="A9" s="32"/>
      <c r="B9" s="27"/>
      <c r="C9" s="270" t="s">
        <v>344</v>
      </c>
      <c r="D9" s="165" t="s">
        <v>333</v>
      </c>
      <c r="E9" s="165" t="s">
        <v>344</v>
      </c>
      <c r="F9" s="165" t="s">
        <v>333</v>
      </c>
    </row>
    <row r="10" spans="1:11" x14ac:dyDescent="0.25">
      <c r="A10" s="379" t="s">
        <v>105</v>
      </c>
      <c r="B10" s="379"/>
      <c r="C10" s="187"/>
      <c r="D10" s="86"/>
      <c r="E10" s="24"/>
      <c r="F10" s="24"/>
    </row>
    <row r="11" spans="1:11" x14ac:dyDescent="0.25">
      <c r="A11" s="366" t="s">
        <v>108</v>
      </c>
      <c r="B11" s="366"/>
      <c r="C11" s="87">
        <f>236934.0679/1000</f>
        <v>236.9340679</v>
      </c>
      <c r="D11" s="87">
        <f>96656.95128/1000</f>
        <v>96.656951279999987</v>
      </c>
      <c r="E11" s="24"/>
      <c r="F11" s="24"/>
    </row>
    <row r="12" spans="1:11" x14ac:dyDescent="0.25">
      <c r="A12" s="366" t="s">
        <v>109</v>
      </c>
      <c r="B12" s="366"/>
      <c r="C12" s="87">
        <f>69337.77057/1000</f>
        <v>69.337770569999989</v>
      </c>
      <c r="D12" s="87">
        <f>66652.88383/1000</f>
        <v>66.652883830000007</v>
      </c>
      <c r="E12" s="24"/>
      <c r="F12" s="24"/>
    </row>
    <row r="13" spans="1:11" x14ac:dyDescent="0.25">
      <c r="A13" s="366" t="s">
        <v>110</v>
      </c>
      <c r="B13" s="366"/>
      <c r="C13" s="87">
        <f>814955.07542/1000</f>
        <v>814.95507541999996</v>
      </c>
      <c r="D13" s="87">
        <f>485296.73298/1000</f>
        <v>485.29673297999994</v>
      </c>
      <c r="E13" s="24"/>
      <c r="F13" s="24"/>
    </row>
    <row r="14" spans="1:11" x14ac:dyDescent="0.25">
      <c r="A14" s="366" t="s">
        <v>273</v>
      </c>
      <c r="B14" s="366"/>
      <c r="C14" s="87">
        <f>1186979.71833/1000-C11-C12-C13</f>
        <v>65.752804440000091</v>
      </c>
      <c r="D14" s="58">
        <f>715425.93763/1000-D11-D12-D13</f>
        <v>66.819369539999968</v>
      </c>
      <c r="E14" s="24"/>
      <c r="F14" s="24"/>
    </row>
    <row r="15" spans="1:11" x14ac:dyDescent="0.25">
      <c r="A15" s="379" t="s">
        <v>106</v>
      </c>
      <c r="B15" s="379"/>
      <c r="C15" s="164">
        <f>SUM(C11:C14)</f>
        <v>1186.97971833</v>
      </c>
      <c r="D15" s="73">
        <f>SUM(D11:D14)</f>
        <v>715.42593762999991</v>
      </c>
      <c r="E15" s="24"/>
      <c r="F15" s="24"/>
    </row>
    <row r="16" spans="1:11" x14ac:dyDescent="0.25">
      <c r="A16" s="379" t="s">
        <v>107</v>
      </c>
      <c r="B16" s="379"/>
      <c r="C16" s="87"/>
      <c r="D16" s="58"/>
      <c r="E16" s="24"/>
      <c r="F16" s="24"/>
      <c r="G16" s="169"/>
      <c r="H16" s="169"/>
      <c r="I16" s="170"/>
      <c r="J16" s="169"/>
    </row>
    <row r="17" spans="1:12" x14ac:dyDescent="0.25">
      <c r="A17" s="366" t="s">
        <v>108</v>
      </c>
      <c r="B17" s="366"/>
      <c r="C17" s="87">
        <f>13385.286915/1000</f>
        <v>13.385286915</v>
      </c>
      <c r="D17" s="58">
        <f>2574.64365/1000</f>
        <v>2.5746436500000001</v>
      </c>
      <c r="E17" s="24"/>
      <c r="F17" s="24"/>
      <c r="G17" s="76"/>
      <c r="H17" s="76"/>
      <c r="I17" s="76"/>
      <c r="J17" s="76"/>
      <c r="K17" s="16"/>
      <c r="L17" s="16"/>
    </row>
    <row r="18" spans="1:12" x14ac:dyDescent="0.25">
      <c r="A18" s="366" t="s">
        <v>109</v>
      </c>
      <c r="B18" s="366"/>
      <c r="C18" s="87">
        <f>1251556.32665/1000</f>
        <v>1251.5563266499998</v>
      </c>
      <c r="D18" s="58">
        <f>1120128.91949/1000</f>
        <v>1120.12891949</v>
      </c>
      <c r="E18" s="24"/>
      <c r="F18" s="24"/>
      <c r="G18" s="76"/>
      <c r="H18" s="76"/>
      <c r="I18" s="76"/>
      <c r="J18" s="76"/>
      <c r="K18" s="16"/>
      <c r="L18" s="16"/>
    </row>
    <row r="19" spans="1:12" x14ac:dyDescent="0.25">
      <c r="A19" s="366" t="s">
        <v>110</v>
      </c>
      <c r="B19" s="366"/>
      <c r="C19" s="87">
        <f>3960087.9276/1000</f>
        <v>3960.0879276000001</v>
      </c>
      <c r="D19" s="58">
        <f>3036043.551/1000</f>
        <v>3036.0435509999998</v>
      </c>
      <c r="E19" s="24"/>
      <c r="F19" s="24"/>
      <c r="G19" s="76"/>
      <c r="H19" s="76"/>
      <c r="I19" s="76"/>
      <c r="J19" s="76"/>
      <c r="K19" s="16"/>
      <c r="L19" s="16"/>
    </row>
    <row r="20" spans="1:12" x14ac:dyDescent="0.25">
      <c r="A20" s="366" t="s">
        <v>273</v>
      </c>
      <c r="B20" s="366"/>
      <c r="C20" s="87">
        <f>5245966.055855/1000-C17-C18-C19</f>
        <v>20.936514690000877</v>
      </c>
      <c r="D20" s="87">
        <f>4180530.83257/1000-D17-D18-D19</f>
        <v>21.783718429999681</v>
      </c>
      <c r="E20" s="24"/>
      <c r="F20" s="24"/>
      <c r="G20" s="76"/>
      <c r="H20" s="76"/>
      <c r="I20" s="76"/>
      <c r="J20" s="76"/>
      <c r="K20" s="16"/>
      <c r="L20" s="168"/>
    </row>
    <row r="21" spans="1:12" x14ac:dyDescent="0.25">
      <c r="A21" s="379" t="s">
        <v>106</v>
      </c>
      <c r="B21" s="379"/>
      <c r="C21" s="164">
        <f>SUM(C17:C20)</f>
        <v>5245.9660558550013</v>
      </c>
      <c r="D21" s="73">
        <f>SUM(D17:D20)</f>
        <v>4180.5308325699998</v>
      </c>
      <c r="E21" s="24"/>
      <c r="F21" s="24"/>
      <c r="G21" s="171"/>
      <c r="H21" s="171"/>
      <c r="I21" s="171"/>
      <c r="J21" s="171"/>
    </row>
    <row r="22" spans="1:12" x14ac:dyDescent="0.25">
      <c r="A22" s="379" t="s">
        <v>82</v>
      </c>
      <c r="B22" s="379"/>
      <c r="C22" s="164">
        <f>+C15+C21</f>
        <v>6432.945774185001</v>
      </c>
      <c r="D22" s="73">
        <f>+D15+D21</f>
        <v>4895.9567701999995</v>
      </c>
      <c r="E22" s="24"/>
      <c r="F22" s="24"/>
      <c r="G22" s="171"/>
      <c r="H22" s="171"/>
      <c r="I22" s="171"/>
      <c r="J22" s="171"/>
    </row>
    <row r="23" spans="1:12" x14ac:dyDescent="0.25">
      <c r="A23" s="11"/>
      <c r="B23" s="16"/>
      <c r="C23" s="271"/>
      <c r="D23" s="11"/>
      <c r="E23" s="11"/>
      <c r="F23" s="11"/>
      <c r="G23" s="16"/>
      <c r="H23" s="172"/>
      <c r="I23" s="173"/>
      <c r="J23" s="172"/>
    </row>
    <row r="25" spans="1:12" x14ac:dyDescent="0.25">
      <c r="C25" s="272"/>
      <c r="D25" s="14"/>
      <c r="F25" s="16"/>
    </row>
    <row r="26" spans="1:12" x14ac:dyDescent="0.25">
      <c r="C26" s="272"/>
      <c r="D26" s="14"/>
      <c r="F26" s="16"/>
      <c r="H26" s="16"/>
      <c r="I26" s="16"/>
    </row>
    <row r="27" spans="1:12" x14ac:dyDescent="0.25">
      <c r="B27" s="83"/>
      <c r="C27" s="272"/>
      <c r="D27" s="14"/>
      <c r="F27" s="16"/>
      <c r="H27" s="16"/>
      <c r="I27" s="16"/>
    </row>
    <row r="28" spans="1:12" x14ac:dyDescent="0.25">
      <c r="B28" s="167"/>
      <c r="C28" s="273"/>
      <c r="D28" s="15"/>
      <c r="F28" s="16"/>
      <c r="H28" s="16"/>
      <c r="I28" s="16"/>
    </row>
    <row r="29" spans="1:12" x14ac:dyDescent="0.25">
      <c r="B29" s="167"/>
      <c r="C29" s="271"/>
      <c r="D29" s="17"/>
      <c r="E29" s="16"/>
      <c r="F29" s="16"/>
      <c r="H29" s="16"/>
      <c r="I29" s="16"/>
    </row>
    <row r="30" spans="1:12" x14ac:dyDescent="0.25">
      <c r="B30" s="167"/>
      <c r="E30" s="16"/>
      <c r="G30" s="16"/>
      <c r="H30" s="16"/>
      <c r="I30" s="16"/>
    </row>
    <row r="31" spans="1:12" x14ac:dyDescent="0.25">
      <c r="B31" s="167"/>
    </row>
    <row r="32" spans="1:12" x14ac:dyDescent="0.25">
      <c r="B32" s="83"/>
    </row>
    <row r="33" spans="2:2" x14ac:dyDescent="0.25">
      <c r="B33" s="83"/>
    </row>
    <row r="34" spans="2:2" x14ac:dyDescent="0.25">
      <c r="B34" s="83"/>
    </row>
    <row r="35" spans="2:2" x14ac:dyDescent="0.25">
      <c r="B35" s="166"/>
    </row>
    <row r="36" spans="2:2" x14ac:dyDescent="0.25">
      <c r="B36" s="166"/>
    </row>
    <row r="37" spans="2:2" x14ac:dyDescent="0.25">
      <c r="B37" s="166"/>
    </row>
    <row r="38" spans="2:2" x14ac:dyDescent="0.25">
      <c r="B38" s="166"/>
    </row>
    <row r="39" spans="2:2" x14ac:dyDescent="0.25">
      <c r="B39" s="166"/>
    </row>
  </sheetData>
  <mergeCells count="18">
    <mergeCell ref="A21:B21"/>
    <mergeCell ref="A22:B22"/>
    <mergeCell ref="C5:D5"/>
    <mergeCell ref="E5:F5"/>
    <mergeCell ref="A10:B10"/>
    <mergeCell ref="A15:B15"/>
    <mergeCell ref="A16:B16"/>
    <mergeCell ref="A11:B11"/>
    <mergeCell ref="A12:B12"/>
    <mergeCell ref="A19:B19"/>
    <mergeCell ref="A20:B20"/>
    <mergeCell ref="A13:B13"/>
    <mergeCell ref="A14:B14"/>
    <mergeCell ref="A17:B17"/>
    <mergeCell ref="A18:B18"/>
    <mergeCell ref="A1:F1"/>
    <mergeCell ref="A2:F2"/>
    <mergeCell ref="A3:F3"/>
  </mergeCells>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INCOME-I</vt:lpstr>
      <vt:lpstr>INCOME-II</vt:lpstr>
      <vt:lpstr>FINANCIAL POSITION</vt:lpstr>
      <vt:lpstr>CHANGES IN EQUITY</vt:lpstr>
      <vt:lpstr>CASH FLOW</vt:lpstr>
      <vt:lpstr>SELECTED PERFORMANCE INDICATORS</vt:lpstr>
      <vt:lpstr>FINANCIAL INSTRUMENTS</vt:lpstr>
      <vt:lpstr>LOANS &amp; RECEIVABLES</vt:lpstr>
      <vt:lpstr>DEPOSITS</vt:lpstr>
      <vt:lpstr>'CASH FLOW'!Print_Area</vt:lpstr>
      <vt:lpstr>'CHANGES IN EQUITY'!Print_Area</vt:lpstr>
      <vt:lpstr>DEPOSITS!Print_Area</vt:lpstr>
      <vt:lpstr>'FINANCIAL INSTRUMENTS'!Print_Area</vt:lpstr>
      <vt:lpstr>'FINANCIAL POSITION'!Print_Area</vt:lpstr>
      <vt:lpstr>'INCOME-I'!Print_Area</vt:lpstr>
      <vt:lpstr>'INCOME-II'!Print_Area</vt:lpstr>
      <vt:lpstr>'LOANS &amp; RECEIVABLES'!Print_Area</vt:lpstr>
      <vt:lpstr>'SELECTED PERFORMANCE INDICATORS'!Print_Area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Sahana Ms.</dc:creator>
  <cp:lastModifiedBy>HP</cp:lastModifiedBy>
  <cp:lastPrinted>2021-08-23T09:10:50Z</cp:lastPrinted>
  <dcterms:created xsi:type="dcterms:W3CDTF">2013-06-10T08:59:36Z</dcterms:created>
  <dcterms:modified xsi:type="dcterms:W3CDTF">2021-08-30T04:03:16Z</dcterms:modified>
</cp:coreProperties>
</file>