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BACK UP\mydocnew\Publication\31122020\"/>
    </mc:Choice>
  </mc:AlternateContent>
  <bookViews>
    <workbookView xWindow="240" yWindow="15" windowWidth="15480" windowHeight="8130" tabRatio="632"/>
  </bookViews>
  <sheets>
    <sheet name="INCOME-I" sheetId="1" r:id="rId1"/>
    <sheet name="INCOME-II" sheetId="2" r:id="rId2"/>
    <sheet name="FINANCIAL POSITION" sheetId="3" r:id="rId3"/>
    <sheet name="CHANGES IN EQUITY" sheetId="4" r:id="rId4"/>
    <sheet name="CASH FLOW" sheetId="11" r:id="rId5"/>
    <sheet name="SELECTED PERFORMANCE INDICATORS" sheetId="7" r:id="rId6"/>
    <sheet name="FINANCIAL INSTRUMENTS" sheetId="6" r:id="rId7"/>
    <sheet name="LOANS &amp; RECEIVABLES" sheetId="8" r:id="rId8"/>
    <sheet name="DEPOSITS" sheetId="10" r:id="rId9"/>
  </sheets>
  <definedNames>
    <definedName name="_xlnm.Print_Area" localSheetId="4">'CASH FLOW'!$A$1:$C$63</definedName>
    <definedName name="_xlnm.Print_Area" localSheetId="3">'CHANGES IN EQUITY'!$A$1:$L$29,'CHANGES IN EQUITY'!$A$33:$L$58</definedName>
    <definedName name="_xlnm.Print_Area" localSheetId="2">'FINANCIAL POSITION'!$A$1:$E$65</definedName>
    <definedName name="_xlnm.Print_Area" localSheetId="0">'INCOME-I'!$B$1:$F$48</definedName>
    <definedName name="_xlnm.Print_Area" localSheetId="1">'INCOME-II'!$A$1:$E$41</definedName>
    <definedName name="_xlnm.Print_Area" localSheetId="7">'LOANS &amp; RECEIVABLES'!$A$4:$F$27</definedName>
    <definedName name="_xlnm.Print_Area" localSheetId="5">'SELECTED PERFORMANCE INDICATORS'!$A$1:$E$60</definedName>
  </definedNames>
  <calcPr calcId="152511"/>
</workbook>
</file>

<file path=xl/calcChain.xml><?xml version="1.0" encoding="utf-8"?>
<calcChain xmlns="http://schemas.openxmlformats.org/spreadsheetml/2006/main">
  <c r="C44" i="8" l="1"/>
  <c r="C43" i="8"/>
  <c r="C33" i="8" l="1"/>
  <c r="D43" i="8"/>
  <c r="D44" i="8"/>
  <c r="C17" i="8" l="1"/>
  <c r="C25" i="8" l="1"/>
  <c r="K36" i="8"/>
  <c r="K35" i="8"/>
  <c r="K34" i="8"/>
  <c r="K33" i="8"/>
  <c r="K32" i="8"/>
  <c r="J36" i="8"/>
  <c r="C12" i="8"/>
  <c r="D22" i="8" l="1"/>
  <c r="D25" i="8"/>
  <c r="D17" i="8"/>
  <c r="C18" i="8"/>
  <c r="D12" i="8"/>
  <c r="D33" i="8" l="1"/>
  <c r="I36" i="8" l="1"/>
  <c r="D37" i="8" l="1"/>
  <c r="H36" i="8"/>
  <c r="D60" i="8"/>
  <c r="D59" i="8"/>
  <c r="D61" i="8"/>
  <c r="C61" i="8"/>
  <c r="C59" i="8"/>
  <c r="C60" i="8"/>
  <c r="C55" i="8" l="1"/>
  <c r="C126" i="6"/>
  <c r="B126" i="6"/>
  <c r="D126" i="6" s="1"/>
  <c r="C94" i="6"/>
  <c r="B94" i="6"/>
  <c r="D94" i="6" s="1"/>
  <c r="C62" i="6"/>
  <c r="B62" i="6"/>
  <c r="D62" i="6" s="1"/>
  <c r="E115" i="6"/>
  <c r="D115" i="6"/>
  <c r="C115" i="6"/>
  <c r="B115" i="6"/>
  <c r="E83" i="6"/>
  <c r="D83" i="6"/>
  <c r="C83" i="6"/>
  <c r="B83" i="6"/>
  <c r="E50" i="6"/>
  <c r="D50" i="6"/>
  <c r="C50" i="6"/>
  <c r="B50" i="6"/>
  <c r="B47" i="6"/>
  <c r="B46" i="6"/>
  <c r="B122" i="6"/>
  <c r="B119" i="6"/>
  <c r="B112" i="6"/>
  <c r="B111" i="6"/>
  <c r="B109" i="6"/>
  <c r="B108" i="6"/>
  <c r="B107" i="6"/>
  <c r="B90" i="6"/>
  <c r="B87" i="6"/>
  <c r="D81" i="6"/>
  <c r="D23" i="3"/>
  <c r="B77" i="6"/>
  <c r="B76" i="6"/>
  <c r="B75" i="6"/>
  <c r="B80" i="6"/>
  <c r="B79" i="6"/>
  <c r="B58" i="6"/>
  <c r="B55" i="6"/>
  <c r="B43" i="6"/>
  <c r="B42" i="6"/>
  <c r="B25" i="6"/>
  <c r="B22" i="6"/>
  <c r="D15" i="6"/>
  <c r="B14" i="6"/>
  <c r="B13" i="6"/>
  <c r="B10" i="6"/>
  <c r="B9" i="6"/>
  <c r="D61" i="3" l="1"/>
  <c r="D56" i="3"/>
  <c r="D53" i="3"/>
  <c r="D52" i="3"/>
  <c r="D48" i="3"/>
  <c r="D46" i="3"/>
  <c r="D44" i="3"/>
  <c r="D40" i="3"/>
  <c r="D34" i="3"/>
  <c r="D31" i="3"/>
  <c r="D30" i="3"/>
  <c r="D27" i="3"/>
  <c r="D22" i="3"/>
  <c r="D21" i="3"/>
  <c r="D15" i="3" l="1"/>
  <c r="D14" i="3"/>
  <c r="D13" i="3"/>
  <c r="E41" i="1"/>
  <c r="E34" i="1"/>
  <c r="E33" i="1"/>
  <c r="E32" i="1"/>
  <c r="E30" i="1"/>
  <c r="E28" i="1"/>
  <c r="E20" i="1"/>
  <c r="E17" i="1"/>
  <c r="E15" i="1"/>
  <c r="E14" i="1"/>
  <c r="C66" i="8" l="1"/>
  <c r="C65" i="8"/>
  <c r="C71" i="8" l="1"/>
  <c r="D74" i="8" l="1"/>
  <c r="D71" i="8"/>
  <c r="D66" i="8"/>
  <c r="D69" i="8" s="1"/>
  <c r="D54" i="8" s="1"/>
  <c r="D65" i="8"/>
  <c r="D63" i="8"/>
  <c r="D75" i="8"/>
  <c r="D55" i="8" s="1"/>
  <c r="D77" i="8" l="1"/>
  <c r="D53" i="8"/>
  <c r="D18" i="8"/>
  <c r="D20" i="10"/>
  <c r="C20" i="10"/>
  <c r="D19" i="10"/>
  <c r="D18" i="10"/>
  <c r="D17" i="10"/>
  <c r="D15" i="10"/>
  <c r="D14" i="10"/>
  <c r="D13" i="10"/>
  <c r="D12" i="10"/>
  <c r="D11" i="10"/>
  <c r="C19" i="10" l="1"/>
  <c r="C18" i="10"/>
  <c r="C17" i="10"/>
  <c r="C14" i="10"/>
  <c r="C13" i="10"/>
  <c r="C12" i="10"/>
  <c r="C11" i="10"/>
  <c r="B17" i="6" l="1"/>
  <c r="B18" i="11" l="1"/>
  <c r="B11" i="11"/>
  <c r="B14" i="11" l="1"/>
  <c r="B33" i="11" l="1"/>
  <c r="B61" i="3"/>
  <c r="B46" i="3" l="1"/>
  <c r="B45" i="3"/>
  <c r="B44" i="3"/>
  <c r="B30" i="11" s="1"/>
  <c r="B34" i="3"/>
  <c r="B29" i="11" s="1"/>
  <c r="B40" i="3"/>
  <c r="B27" i="11" s="1"/>
  <c r="B31" i="3" l="1"/>
  <c r="B13" i="3"/>
  <c r="B21" i="3" l="1"/>
  <c r="B23" i="11" s="1"/>
  <c r="B14" i="3" l="1"/>
  <c r="B21" i="7" l="1"/>
  <c r="B11" i="7" l="1"/>
  <c r="B10" i="7"/>
  <c r="B9" i="7"/>
  <c r="D9" i="3" l="1"/>
  <c r="C12" i="2" l="1"/>
  <c r="B17" i="11" l="1"/>
  <c r="B16" i="11"/>
  <c r="B15" i="11"/>
  <c r="B13" i="11"/>
  <c r="B12" i="11"/>
  <c r="F13" i="4" l="1"/>
  <c r="D32" i="3" l="1"/>
  <c r="D57" i="3"/>
  <c r="D59" i="3" s="1"/>
  <c r="D47" i="3"/>
  <c r="D50" i="3" s="1"/>
  <c r="D60" i="3" l="1"/>
  <c r="J10" i="4" l="1"/>
  <c r="B23" i="3" l="1"/>
  <c r="B22" i="3" s="1"/>
  <c r="B24" i="11" s="1"/>
  <c r="C19" i="1" l="1"/>
  <c r="C57" i="3" l="1"/>
  <c r="C50" i="3"/>
  <c r="B19" i="11" l="1"/>
  <c r="B34" i="11" l="1"/>
  <c r="B32" i="3" l="1"/>
  <c r="I14" i="4" l="1"/>
  <c r="G14" i="4"/>
  <c r="F14" i="4"/>
  <c r="B50" i="3"/>
  <c r="E57" i="3" l="1"/>
  <c r="E59" i="3" s="1"/>
  <c r="E47" i="3"/>
  <c r="E50" i="3"/>
  <c r="E32" i="3"/>
  <c r="E9" i="3"/>
  <c r="C59" i="3"/>
  <c r="C60" i="3" s="1"/>
  <c r="C29" i="3"/>
  <c r="C32" i="3"/>
  <c r="E60" i="3" l="1"/>
  <c r="C46" i="8" l="1"/>
  <c r="C37" i="8"/>
  <c r="E47" i="8" l="1"/>
  <c r="F47" i="8"/>
  <c r="C47" i="8"/>
  <c r="E27" i="8"/>
  <c r="F27" i="8"/>
  <c r="C69" i="8"/>
  <c r="C54" i="8" s="1"/>
  <c r="C63" i="8"/>
  <c r="C53" i="8" s="1"/>
  <c r="C75" i="8"/>
  <c r="C77" i="8" l="1"/>
  <c r="C15" i="10" l="1"/>
  <c r="D61" i="6" l="1"/>
  <c r="D60" i="6"/>
  <c r="D58" i="6"/>
  <c r="D57" i="6"/>
  <c r="D56" i="6"/>
  <c r="D55" i="6"/>
  <c r="E49" i="6"/>
  <c r="E48" i="6"/>
  <c r="E47" i="6"/>
  <c r="E46" i="6"/>
  <c r="E45" i="6"/>
  <c r="E44" i="6"/>
  <c r="E43" i="6"/>
  <c r="E42" i="6"/>
  <c r="B59" i="6"/>
  <c r="D48" i="6"/>
  <c r="D59" i="6" l="1"/>
  <c r="K29" i="4"/>
  <c r="I29" i="4"/>
  <c r="L27" i="4"/>
  <c r="L25" i="4"/>
  <c r="L24" i="4"/>
  <c r="L23" i="4"/>
  <c r="L21" i="4"/>
  <c r="L20" i="4"/>
  <c r="L19" i="4"/>
  <c r="L18" i="4"/>
  <c r="K14" i="4"/>
  <c r="J13" i="4"/>
  <c r="L13" i="4" s="1"/>
  <c r="B14" i="4"/>
  <c r="J27" i="4"/>
  <c r="J25" i="4"/>
  <c r="J24" i="4"/>
  <c r="J23" i="4"/>
  <c r="J21" i="4"/>
  <c r="J20" i="4"/>
  <c r="J19" i="4"/>
  <c r="J18" i="4"/>
  <c r="I28" i="4"/>
  <c r="C28" i="4"/>
  <c r="D28" i="4"/>
  <c r="E28" i="4"/>
  <c r="F28" i="4"/>
  <c r="G28" i="4"/>
  <c r="B28" i="4"/>
  <c r="F57" i="4"/>
  <c r="F58" i="4" s="1"/>
  <c r="L50" i="4"/>
  <c r="L42" i="4"/>
  <c r="J48" i="4"/>
  <c r="L48" i="4" s="1"/>
  <c r="J49" i="4"/>
  <c r="L49" i="4" s="1"/>
  <c r="J50" i="4"/>
  <c r="J51" i="4"/>
  <c r="L51" i="4" s="1"/>
  <c r="J52" i="4"/>
  <c r="L52" i="4" s="1"/>
  <c r="J53" i="4"/>
  <c r="L53" i="4" s="1"/>
  <c r="J54" i="4"/>
  <c r="L54" i="4" s="1"/>
  <c r="J56" i="4"/>
  <c r="L56" i="4" s="1"/>
  <c r="J47" i="4"/>
  <c r="J42" i="4"/>
  <c r="J41" i="4"/>
  <c r="L41" i="4" s="1"/>
  <c r="J39" i="4"/>
  <c r="L39" i="4" s="1"/>
  <c r="F43" i="4"/>
  <c r="B29" i="4" l="1"/>
  <c r="J57" i="4"/>
  <c r="L47" i="4"/>
  <c r="H38" i="1" l="1"/>
  <c r="B46" i="11"/>
  <c r="B58" i="11"/>
  <c r="B60" i="11" l="1"/>
  <c r="B63" i="11" s="1"/>
  <c r="C14" i="4" l="1"/>
  <c r="D29" i="4"/>
  <c r="E14" i="4"/>
  <c r="E29" i="4" s="1"/>
  <c r="F29" i="4"/>
  <c r="G29" i="4"/>
  <c r="C29" i="4" l="1"/>
  <c r="E19" i="1" l="1"/>
  <c r="E16" i="1"/>
  <c r="E29" i="1" l="1"/>
  <c r="E31" i="1" s="1"/>
  <c r="E35" i="1" s="1"/>
  <c r="E38" i="1" s="1"/>
  <c r="E40" i="1" s="1"/>
  <c r="E42" i="1" s="1"/>
  <c r="E44" i="1" s="1"/>
  <c r="E77" i="8"/>
  <c r="F77" i="8"/>
  <c r="F75" i="8"/>
  <c r="E75" i="8"/>
  <c r="F69" i="8"/>
  <c r="E69" i="8"/>
  <c r="E63" i="8"/>
  <c r="F63" i="8"/>
  <c r="F57" i="8" l="1"/>
  <c r="E57" i="8"/>
  <c r="E46" i="8"/>
  <c r="F46" i="8"/>
  <c r="E37" i="8"/>
  <c r="F37" i="8"/>
  <c r="E26" i="8"/>
  <c r="F26" i="8"/>
  <c r="E18" i="8"/>
  <c r="F18" i="8"/>
  <c r="D46" i="8"/>
  <c r="D47" i="8" s="1"/>
  <c r="D26" i="8" l="1"/>
  <c r="D27" i="8" s="1"/>
  <c r="D57" i="8" s="1"/>
  <c r="C26" i="8"/>
  <c r="C27" i="8" s="1"/>
  <c r="C57" i="8" s="1"/>
  <c r="C37" i="2" l="1"/>
  <c r="E37" i="2"/>
  <c r="E12" i="2" l="1"/>
  <c r="E39" i="2" s="1"/>
  <c r="D21" i="10" l="1"/>
  <c r="D22" i="10" l="1"/>
  <c r="D125" i="6" l="1"/>
  <c r="D124" i="6"/>
  <c r="D123" i="6"/>
  <c r="D122" i="6"/>
  <c r="D121" i="6"/>
  <c r="D120" i="6"/>
  <c r="D119" i="6"/>
  <c r="E114" i="6"/>
  <c r="E113" i="6"/>
  <c r="E112" i="6"/>
  <c r="E111" i="6"/>
  <c r="E110" i="6"/>
  <c r="E109" i="6"/>
  <c r="E108" i="6"/>
  <c r="E107" i="6"/>
  <c r="H22" i="4" l="1"/>
  <c r="J22" i="4" l="1"/>
  <c r="L22" i="4" s="1"/>
  <c r="H28" i="4"/>
  <c r="J28" i="4" l="1"/>
  <c r="L28" i="4" s="1"/>
  <c r="L57" i="4"/>
  <c r="C29" i="6" l="1"/>
  <c r="D17" i="6"/>
  <c r="C21" i="10" l="1"/>
  <c r="H43" i="4" l="1"/>
  <c r="I43" i="4"/>
  <c r="K57" i="4" l="1"/>
  <c r="I57" i="4"/>
  <c r="H57" i="4"/>
  <c r="H58" i="4" s="1"/>
  <c r="G57" i="4"/>
  <c r="E57" i="4"/>
  <c r="D57" i="4"/>
  <c r="C57" i="4"/>
  <c r="B57" i="4"/>
  <c r="K43" i="4"/>
  <c r="G43" i="4"/>
  <c r="E43" i="4"/>
  <c r="J43" i="4" s="1"/>
  <c r="D43" i="4"/>
  <c r="C43" i="4"/>
  <c r="C58" i="4" s="1"/>
  <c r="B43" i="4"/>
  <c r="L43" i="4" l="1"/>
  <c r="J58" i="4"/>
  <c r="E58" i="4"/>
  <c r="B58" i="4"/>
  <c r="G58" i="4"/>
  <c r="I58" i="4"/>
  <c r="D58" i="4"/>
  <c r="K58" i="4"/>
  <c r="L58" i="4" l="1"/>
  <c r="E40" i="2" l="1"/>
  <c r="C22" i="10" l="1"/>
  <c r="D93" i="6" l="1"/>
  <c r="D92" i="6"/>
  <c r="D91" i="6"/>
  <c r="D90" i="6"/>
  <c r="D89" i="6"/>
  <c r="D88" i="6"/>
  <c r="D87" i="6"/>
  <c r="E82" i="6"/>
  <c r="E81" i="6"/>
  <c r="E80" i="6"/>
  <c r="E79" i="6"/>
  <c r="E78" i="6"/>
  <c r="E77" i="6"/>
  <c r="E76" i="6"/>
  <c r="E75" i="6"/>
  <c r="B37" i="2" l="1"/>
  <c r="C16" i="1" l="1"/>
  <c r="B26" i="6" l="1"/>
  <c r="B29" i="6" s="1"/>
  <c r="E15" i="6"/>
  <c r="C17" i="6"/>
  <c r="E14" i="6"/>
  <c r="E13" i="6"/>
  <c r="E11" i="6"/>
  <c r="E10" i="6"/>
  <c r="E9" i="6"/>
  <c r="E12" i="6"/>
  <c r="D37" i="2"/>
  <c r="D23" i="6"/>
  <c r="D25" i="6"/>
  <c r="D27" i="6"/>
  <c r="D28" i="6"/>
  <c r="C29" i="1" l="1"/>
  <c r="C31" i="1" s="1"/>
  <c r="C35" i="1" s="1"/>
  <c r="C38" i="1" s="1"/>
  <c r="E16" i="6"/>
  <c r="E17" i="6" s="1"/>
  <c r="D22" i="6"/>
  <c r="D29" i="6"/>
  <c r="D26" i="6"/>
  <c r="C40" i="1" l="1"/>
  <c r="C42" i="1" s="1"/>
  <c r="C44" i="1" l="1"/>
  <c r="B12" i="2"/>
  <c r="B39" i="2" s="1"/>
  <c r="B40" i="2" s="1"/>
  <c r="H12" i="4"/>
  <c r="H14" i="4" s="1"/>
  <c r="J14" i="4" s="1"/>
  <c r="D12" i="2"/>
  <c r="D39" i="2" s="1"/>
  <c r="D40" i="2" s="1"/>
  <c r="J12" i="4" l="1"/>
  <c r="L12" i="4" s="1"/>
  <c r="L14" i="4"/>
  <c r="L29" i="4" s="1"/>
  <c r="H29" i="4"/>
  <c r="C39" i="2"/>
  <c r="C40" i="2" s="1"/>
  <c r="J29" i="4" l="1"/>
  <c r="B57" i="3"/>
  <c r="B59" i="3" s="1"/>
  <c r="B60" i="3" s="1"/>
</calcChain>
</file>

<file path=xl/comments1.xml><?xml version="1.0" encoding="utf-8"?>
<comments xmlns="http://schemas.openxmlformats.org/spreadsheetml/2006/main">
  <authors>
    <author>user</author>
  </authors>
  <commentList>
    <comment ref="J14" authorId="0" shapeId="0">
      <text>
        <r>
          <rPr>
            <b/>
            <sz val="9"/>
            <color indexed="81"/>
            <rFont val="Tahoma"/>
            <family val="2"/>
          </rPr>
          <t>9604</t>
        </r>
        <r>
          <rPr>
            <sz val="9"/>
            <color indexed="81"/>
            <rFont val="Tahoma"/>
            <family val="2"/>
          </rPr>
          <t xml:space="preserve">
</t>
        </r>
      </text>
    </comment>
    <comment ref="L14" authorId="0" shapeId="0">
      <text>
        <r>
          <rPr>
            <b/>
            <sz val="9"/>
            <color indexed="81"/>
            <rFont val="Tahoma"/>
            <family val="2"/>
          </rPr>
          <t>9604</t>
        </r>
        <r>
          <rPr>
            <sz val="9"/>
            <color indexed="81"/>
            <rFont val="Tahoma"/>
            <family val="2"/>
          </rPr>
          <t xml:space="preserve">
</t>
        </r>
      </text>
    </comment>
    <comment ref="J29" authorId="0" shapeId="0">
      <text>
        <r>
          <rPr>
            <b/>
            <sz val="9"/>
            <color indexed="81"/>
            <rFont val="Tahoma"/>
            <family val="2"/>
          </rPr>
          <t>9604</t>
        </r>
        <r>
          <rPr>
            <sz val="9"/>
            <color indexed="81"/>
            <rFont val="Tahoma"/>
            <family val="2"/>
          </rPr>
          <t xml:space="preserve">
</t>
        </r>
      </text>
    </comment>
    <comment ref="L29" authorId="0" shapeId="0">
      <text>
        <r>
          <rPr>
            <b/>
            <sz val="9"/>
            <color indexed="81"/>
            <rFont val="Tahoma"/>
            <family val="2"/>
          </rPr>
          <t>9604</t>
        </r>
        <r>
          <rPr>
            <sz val="9"/>
            <color indexed="81"/>
            <rFont val="Tahoma"/>
            <family val="2"/>
          </rPr>
          <t xml:space="preserve">
</t>
        </r>
      </text>
    </comment>
  </commentList>
</comments>
</file>

<file path=xl/sharedStrings.xml><?xml version="1.0" encoding="utf-8"?>
<sst xmlns="http://schemas.openxmlformats.org/spreadsheetml/2006/main" count="688" uniqueCount="367">
  <si>
    <t xml:space="preserve">INCOME STATEMENT </t>
  </si>
  <si>
    <t>Interest Income</t>
  </si>
  <si>
    <t>Interest expenses</t>
  </si>
  <si>
    <t>Net Interest income</t>
  </si>
  <si>
    <t xml:space="preserve">Fee and Commission income </t>
  </si>
  <si>
    <t>Fee and Commission expenses</t>
  </si>
  <si>
    <t>Net fee and Commission income</t>
  </si>
  <si>
    <t>Total operating income</t>
  </si>
  <si>
    <t>Net Operating income</t>
  </si>
  <si>
    <t>Personal expenses</t>
  </si>
  <si>
    <t>Other expenses</t>
  </si>
  <si>
    <t>Value added tax (VAT) on financial services</t>
  </si>
  <si>
    <t>Profit / (loss) before tax</t>
  </si>
  <si>
    <t>Profit / (loss) for the period</t>
  </si>
  <si>
    <t>Profit attributable to :</t>
  </si>
  <si>
    <t>Basic earnings per ordinary share</t>
  </si>
  <si>
    <t>Bank</t>
  </si>
  <si>
    <t xml:space="preserve">Current </t>
  </si>
  <si>
    <t>From</t>
  </si>
  <si>
    <t>to</t>
  </si>
  <si>
    <t>Previous</t>
  </si>
  <si>
    <t>INDIAN OVERSEAS BANK</t>
  </si>
  <si>
    <t xml:space="preserve">STATEMENT OF COMPREHENSIVE INCOME </t>
  </si>
  <si>
    <t>Profit (loss) for the period</t>
  </si>
  <si>
    <t>Changes in revaluation surplus</t>
  </si>
  <si>
    <t>Group</t>
  </si>
  <si>
    <t>Assets</t>
  </si>
  <si>
    <t>Balances with central banks</t>
  </si>
  <si>
    <t>Placements with banks</t>
  </si>
  <si>
    <t>Derivative financial instruments</t>
  </si>
  <si>
    <t>through profit or loss</t>
  </si>
  <si>
    <t>Investments in subsidiaries</t>
  </si>
  <si>
    <t>Investments in associates and joint ventures</t>
  </si>
  <si>
    <t>Investment properties</t>
  </si>
  <si>
    <t>Other assets</t>
  </si>
  <si>
    <t>Total assets</t>
  </si>
  <si>
    <t>Liabilities</t>
  </si>
  <si>
    <t>Due to banks</t>
  </si>
  <si>
    <t>Debts securities issued</t>
  </si>
  <si>
    <t>Current tax liabilities</t>
  </si>
  <si>
    <t>Other provisions</t>
  </si>
  <si>
    <t>Other liabilities</t>
  </si>
  <si>
    <t>Due to subsidiaries</t>
  </si>
  <si>
    <t>Total liabilities</t>
  </si>
  <si>
    <t>Equity</t>
  </si>
  <si>
    <t>Stated capital / Assigned capital</t>
  </si>
  <si>
    <t>Statutory reserve fund</t>
  </si>
  <si>
    <t>Retained earnings</t>
  </si>
  <si>
    <t>Other reserves</t>
  </si>
  <si>
    <t>Total shareholders' equity</t>
  </si>
  <si>
    <t>Total equity</t>
  </si>
  <si>
    <t>Total equity and liabilities</t>
  </si>
  <si>
    <t>Contingent liabilities and commitments</t>
  </si>
  <si>
    <t>Memorandum Information</t>
  </si>
  <si>
    <t xml:space="preserve">       Number of Employees</t>
  </si>
  <si>
    <t xml:space="preserve">       Number of Branches</t>
  </si>
  <si>
    <t>STATEMENT OF CHANGES IN EQUITY</t>
  </si>
  <si>
    <t>Total comprehensive income for the year</t>
  </si>
  <si>
    <t>Other comprehensive income (net of tax)</t>
  </si>
  <si>
    <t>Share issue/increase of assigned capital</t>
  </si>
  <si>
    <t>Share options excercised</t>
  </si>
  <si>
    <t>Bonus issue</t>
  </si>
  <si>
    <t>Rights issue</t>
  </si>
  <si>
    <t>Dividends to equity holdres</t>
  </si>
  <si>
    <t>Profit transferred to head office</t>
  </si>
  <si>
    <t xml:space="preserve">Gain / (loss) on revaluation of Property, Plant </t>
  </si>
  <si>
    <t>and Equipment (if cost method is adopted)</t>
  </si>
  <si>
    <t>Others (Please specify)</t>
  </si>
  <si>
    <t>Total transactions with equity holders</t>
  </si>
  <si>
    <t>Ordinary</t>
  </si>
  <si>
    <t xml:space="preserve">voting </t>
  </si>
  <si>
    <t>shares</t>
  </si>
  <si>
    <t>non-voting</t>
  </si>
  <si>
    <t>Assigned</t>
  </si>
  <si>
    <t>capital</t>
  </si>
  <si>
    <t>Reserves</t>
  </si>
  <si>
    <t>Revaluation</t>
  </si>
  <si>
    <t>reserve</t>
  </si>
  <si>
    <t xml:space="preserve">Retained </t>
  </si>
  <si>
    <t>earnings</t>
  </si>
  <si>
    <t xml:space="preserve">Other </t>
  </si>
  <si>
    <t>reserves</t>
  </si>
  <si>
    <t>Total</t>
  </si>
  <si>
    <t>interest</t>
  </si>
  <si>
    <t>a. Bank - Current period</t>
  </si>
  <si>
    <t>ASSETS</t>
  </si>
  <si>
    <t>Cash and cash equivalents</t>
  </si>
  <si>
    <t>Total financial assets</t>
  </si>
  <si>
    <t>LIABILITIES</t>
  </si>
  <si>
    <t>Debt securities issued</t>
  </si>
  <si>
    <t xml:space="preserve">Total financial liabilities </t>
  </si>
  <si>
    <t>ANALYSIS OF FINANCIAL INSTRUMENTS BY MEASURMENT BASIS</t>
  </si>
  <si>
    <t>Assets Quality (Quality of Loan Portfolio)</t>
  </si>
  <si>
    <t>Profitability</t>
  </si>
  <si>
    <t>Regulatory Liquidity</t>
  </si>
  <si>
    <t>Statutory Liquid Assets, Rs. '000</t>
  </si>
  <si>
    <t xml:space="preserve">   Domestic Banking Unit</t>
  </si>
  <si>
    <t xml:space="preserve">   Off - shore Banking Unit</t>
  </si>
  <si>
    <t>As at</t>
  </si>
  <si>
    <t>in LKR</t>
  </si>
  <si>
    <t>in INR</t>
  </si>
  <si>
    <t xml:space="preserve"> Group</t>
  </si>
  <si>
    <t>as at</t>
  </si>
  <si>
    <t xml:space="preserve">Period </t>
  </si>
  <si>
    <t xml:space="preserve"> as at</t>
  </si>
  <si>
    <t xml:space="preserve"> Period</t>
  </si>
  <si>
    <t>By Product - Domestic Currecy</t>
  </si>
  <si>
    <t>Sub Total</t>
  </si>
  <si>
    <t>By Product - Foreign Currecy</t>
  </si>
  <si>
    <t>Demand Deposits (Current Accounts)</t>
  </si>
  <si>
    <t>Savings Deposits</t>
  </si>
  <si>
    <t>Fixed Deposits</t>
  </si>
  <si>
    <t xml:space="preserve">STATEMENT OF FINANCIAL POSITION </t>
  </si>
  <si>
    <t xml:space="preserve"> </t>
  </si>
  <si>
    <t>ANALYSIS OF FINANCIAL INSTRUMENTS BY MEASUREMENT BASIS</t>
  </si>
  <si>
    <t>Certification</t>
  </si>
  <si>
    <t>Earnings per share on profit</t>
  </si>
  <si>
    <t>Equity Holders of the parent</t>
  </si>
  <si>
    <t xml:space="preserve">Current Period </t>
  </si>
  <si>
    <t>Diluted earnings per ordinary share</t>
  </si>
  <si>
    <t xml:space="preserve">Cash and cash equivalents </t>
  </si>
  <si>
    <t>Property, plant and equipment</t>
  </si>
  <si>
    <t xml:space="preserve">Non controlling </t>
  </si>
  <si>
    <t>b. Bank - Previous Period</t>
  </si>
  <si>
    <t>Deffered tax liabilities</t>
  </si>
  <si>
    <t>in INR milion (Audited)</t>
  </si>
  <si>
    <t>(Audited)</t>
  </si>
  <si>
    <t xml:space="preserve">Corporate Governance </t>
  </si>
  <si>
    <t>Risk  Management</t>
  </si>
  <si>
    <t>Compliance Officer</t>
  </si>
  <si>
    <t xml:space="preserve">We, the undersigned, being the Chief Executive Officer and the Compliance Officer of Indian Overseas Bank certify jointly that:
(a) The above statements have been prepared in compliance with the format and definitions prescribed by the Central Bank of Sri Lanka.
</t>
  </si>
  <si>
    <t>S Subamuralitharan</t>
  </si>
  <si>
    <t>c. Group - Current period</t>
  </si>
  <si>
    <t>STATEMENT OF CASH FLOWS</t>
  </si>
  <si>
    <t>Cash flows from operating activities</t>
  </si>
  <si>
    <t>Cash flows from investing activities</t>
  </si>
  <si>
    <t>Purchase of property, plant &amp; equipment</t>
  </si>
  <si>
    <t xml:space="preserve">Proceeds from the sale of property, plant &amp; equipment </t>
  </si>
  <si>
    <t>Purchase of financial investments</t>
  </si>
  <si>
    <t>Proceeds from the sale and maturity of financial investments</t>
  </si>
  <si>
    <t>Net purchase of intangible assets</t>
  </si>
  <si>
    <t xml:space="preserve">Dividends received from investment in subsidiaries &amp; associates </t>
  </si>
  <si>
    <t>Others (please specify)</t>
  </si>
  <si>
    <t>Net cash (used in) / from investing activities</t>
  </si>
  <si>
    <t>Cash flows from financing activities</t>
  </si>
  <si>
    <t>Net proceeds from the issue of ordinary share capital</t>
  </si>
  <si>
    <t>Net proceeds from the issue of other equity instruments</t>
  </si>
  <si>
    <t>Net proceeds from the issue of subordinated debt</t>
  </si>
  <si>
    <t>Repayment of subordinated debt</t>
  </si>
  <si>
    <t>Interest paid on subordinataed debt</t>
  </si>
  <si>
    <t>Dividend paid to non-controlling interest</t>
  </si>
  <si>
    <t>Dividend paid to shareholders of the parent company</t>
  </si>
  <si>
    <t>Dividend paid to holders of othr equity instruments</t>
  </si>
  <si>
    <t>Net increase/(decrease) in cash &amp; cash equivalantes</t>
  </si>
  <si>
    <t>Cash &amp; cash equivalants at the beginning of the period</t>
  </si>
  <si>
    <t>Exchange difference in respect of cash &amp; cash equivalent</t>
  </si>
  <si>
    <t>Cash &amp; cash equivalants at the end of the period</t>
  </si>
  <si>
    <t>in LKR million (Audited)</t>
  </si>
  <si>
    <t xml:space="preserve">The Bank facilitates good Corporate Governance by its commitments for ethical practices in the conduct of its business to ensure transparency and efficiency. Objectives can be summarized as, to protect and enhance share holder value, to protect the interest of all share holders. This will ensure transparency and integrity in communication and to make available full accurate and clear information to all stakeholders concerned, to ensure accountability for excellent customer service levels.
Bank’s full statement on Corporate Governance can be found in the Bank’s Annual Report at https://www.iob.in/Annual_Reports.aspx
</t>
  </si>
  <si>
    <t xml:space="preserve">Previous Period </t>
  </si>
  <si>
    <t>Financial Parameters</t>
  </si>
  <si>
    <t>Bank (in LKR)</t>
  </si>
  <si>
    <t>d. Group - Previous period</t>
  </si>
  <si>
    <t>31/03/2018</t>
  </si>
  <si>
    <t>Country Head</t>
  </si>
  <si>
    <t>Risk taking is an integral part of the banking business. Banks assume various types of risks in its activities, while providing different kinds of services based on its risk appetite. In the normal course of business, a bank is exposed to various risks including Credit Risk, Market Risk and Operational Risk. With a view to manage such risks efficiently and strengthen its risk management systems, bank has put in place various risk management measures and practices which includes policies, tools, techniques, monitoring mechanism and Management Information System.
The Bank has adopted the new Capital Adequacy Framework (Basel II) with effect from January 2008. In line with Regulator’s guidelines, the Bank adopted the Standardized Approach (SA) for computation of Credit Risk Capital, Basic Indicator approach for calculating the capital for Operational Risk and Standardized Measurement Method (SMM) for Market Risk Capital computation. The Bank has put in place a Board approved Policy on Internal Capital Adequacy Assessment Process (ICAAP) to address second pillar requirements.</t>
  </si>
  <si>
    <t>Deffered tax assets</t>
  </si>
  <si>
    <t>Net gains/(losses) from trading</t>
  </si>
  <si>
    <t xml:space="preserve">    financial assets at fair value through profit or loss</t>
  </si>
  <si>
    <t xml:space="preserve">    financial liabilities at fair value through profit or loss</t>
  </si>
  <si>
    <t>Net gains/(losses) on derecognition of financial assets :</t>
  </si>
  <si>
    <t xml:space="preserve">    at fair value through profit or loss</t>
  </si>
  <si>
    <t xml:space="preserve">    at amortised cost</t>
  </si>
  <si>
    <t xml:space="preserve">    at fair value through other comprehensive income</t>
  </si>
  <si>
    <t>Net other operating income</t>
  </si>
  <si>
    <t>Impairment charges</t>
  </si>
  <si>
    <t>Depreciation and amortizaiton expenses</t>
  </si>
  <si>
    <t>National building tax (VAT) on financial services</t>
  </si>
  <si>
    <t>Operating profit / (loss) before VAT &amp; NBT on financial services</t>
  </si>
  <si>
    <t>Operating profit / (loss) after VAT &amp; NBT on financial services</t>
  </si>
  <si>
    <t>Income Tax expenses</t>
  </si>
  <si>
    <t>Non-controlling interests</t>
  </si>
  <si>
    <t>In Rupees Millions</t>
  </si>
  <si>
    <t>Items that will be reclassified to income statement</t>
  </si>
  <si>
    <t>Exchange differences on translation of foreign operations</t>
  </si>
  <si>
    <t>Net gains/(losses) on cash flow hedges</t>
  </si>
  <si>
    <t>Net gains/(losses) on investments in debt instruments</t>
  </si>
  <si>
    <t>measured at fair value through other comprehensive income</t>
  </si>
  <si>
    <t>Share of profits of associates and joint ventures</t>
  </si>
  <si>
    <t>Debt instruments at fair value through other comprehensive income</t>
  </si>
  <si>
    <t>Others (specify)</t>
  </si>
  <si>
    <t>Less : Tax expense relating to items that will be reclassified to</t>
  </si>
  <si>
    <t>income statement</t>
  </si>
  <si>
    <t>Items that will not be reclassified to income statement</t>
  </si>
  <si>
    <t>Change in fair value on investments in equity instruments</t>
  </si>
  <si>
    <t>designated at fair value through other comprehensive income</t>
  </si>
  <si>
    <t xml:space="preserve">Change in fair value attributable to change in the Bank’s own </t>
  </si>
  <si>
    <t xml:space="preserve">credit risk on financial liabilities designated at fair value </t>
  </si>
  <si>
    <t>Re-measurement of post-employment benefit obligations</t>
  </si>
  <si>
    <t>to income statement</t>
  </si>
  <si>
    <t>Less: Tax expense relating to items that will not be reclassified</t>
  </si>
  <si>
    <t>Other comprehensive income for the period, net of taxes</t>
  </si>
  <si>
    <t>Equity holders of the parent</t>
  </si>
  <si>
    <t>Financial assets recognized through profit or loss</t>
  </si>
  <si>
    <t xml:space="preserve">    - measured at fair value</t>
  </si>
  <si>
    <t xml:space="preserve">    - designated at fair value</t>
  </si>
  <si>
    <t>Financial assets at amortised cost</t>
  </si>
  <si>
    <t xml:space="preserve">   - loans and advances</t>
  </si>
  <si>
    <t xml:space="preserve">   - debt and other instruments</t>
  </si>
  <si>
    <t>Financial assets measured at fair value through</t>
  </si>
  <si>
    <t>other comprehensive income</t>
  </si>
  <si>
    <t>Financial liabilities at amortised cost</t>
  </si>
  <si>
    <t xml:space="preserve">   - due to depositors</t>
  </si>
  <si>
    <t xml:space="preserve">   - due to debt securities holders</t>
  </si>
  <si>
    <t xml:space="preserve">   - due to other borrowers</t>
  </si>
  <si>
    <t>Retirement benefit obligations</t>
  </si>
  <si>
    <t>Financial liabilities recognized through profit or loss</t>
  </si>
  <si>
    <t>OCI reserve</t>
  </si>
  <si>
    <t>Note: Amounts stated are net of impairment and depreciation.</t>
  </si>
  <si>
    <t>In Rupees Millions                                    LKR</t>
  </si>
  <si>
    <t>Transactions with equity holders, recognised</t>
  </si>
  <si>
    <t>directly in equity</t>
  </si>
  <si>
    <t>Profit/(loss) for the year (net of
tax)</t>
  </si>
  <si>
    <t>Transfers to reserve during the period</t>
  </si>
  <si>
    <t>In Rupees Millions                                    INR</t>
  </si>
  <si>
    <t>Statutory Reserve fund</t>
  </si>
  <si>
    <t>OCI</t>
  </si>
  <si>
    <t>Interest receipts</t>
  </si>
  <si>
    <t>Interest payments</t>
  </si>
  <si>
    <t>Net commission receipts</t>
  </si>
  <si>
    <t>Trading income</t>
  </si>
  <si>
    <t>Payments to employees</t>
  </si>
  <si>
    <t>VAT &amp; NBT on financial services</t>
  </si>
  <si>
    <t>Receipts from other operating activities</t>
  </si>
  <si>
    <t>Payments on other operating activities</t>
  </si>
  <si>
    <t>Operating profit before change in operating assets &amp; liabilities</t>
  </si>
  <si>
    <t>(Increase) / decrease in operating assets</t>
  </si>
  <si>
    <t>Balances with Central Bank of Sri Lanka</t>
  </si>
  <si>
    <t>Financial assets at amortised cost – loans &amp; advances</t>
  </si>
  <si>
    <t>Other assets (please specify)</t>
  </si>
  <si>
    <t>Increase / (decrease) in operating liabilities</t>
  </si>
  <si>
    <t>Financial liabilities at amortised cost – due to depositors</t>
  </si>
  <si>
    <t>Financial liabilities at amortised cost – due to debt securities holders</t>
  </si>
  <si>
    <t>Financial liabilities at amortised cost – due to other borrowers</t>
  </si>
  <si>
    <t>Other liabilities (please specify)</t>
  </si>
  <si>
    <t>Net cash generated from operating activities before income tax</t>
  </si>
  <si>
    <t>Income tax paid</t>
  </si>
  <si>
    <t>Net cash (used in) / from operating activities</t>
  </si>
  <si>
    <t>Net cash (used in) / from financing activities</t>
  </si>
  <si>
    <t>Net cash flow from acquisition of investment in subsidiaries, joint
ventures and associates</t>
  </si>
  <si>
    <t>Net cash flow from disposal of subsidiaries, associates and  joint
ventures</t>
  </si>
  <si>
    <t>SELECTED PERFORMANCE INDICATORS (BASED ON REGULATORY REPORTING)</t>
  </si>
  <si>
    <t>Regulatory Capital Adequacy (LKR in Millions)</t>
  </si>
  <si>
    <t xml:space="preserve">      Common Equity Tier 1</t>
  </si>
  <si>
    <t xml:space="preserve">      Core (Tier 1) Capital</t>
  </si>
  <si>
    <t xml:space="preserve">      Total Capital Base</t>
  </si>
  <si>
    <t>Regulatory Capital Ratios (%)</t>
  </si>
  <si>
    <t>Gross Non-Performing Advances Ratio % (net of IIS)</t>
  </si>
  <si>
    <t>Net-Non Performing Advances, % (net of IIS and provision)</t>
  </si>
  <si>
    <t>Return on Assets (befor Tax) %</t>
  </si>
  <si>
    <t>Return on Equity %</t>
  </si>
  <si>
    <t>Interest Margin %</t>
  </si>
  <si>
    <t>Loans and advances</t>
  </si>
  <si>
    <t>Debt instruments</t>
  </si>
  <si>
    <t>Equity instruments</t>
  </si>
  <si>
    <t>AC</t>
  </si>
  <si>
    <t>FVPL</t>
  </si>
  <si>
    <t>FVOCI</t>
  </si>
  <si>
    <t>FVOCI - Financial assets measured at fair value through other comprehensive income</t>
  </si>
  <si>
    <t>FVPL   - Financial assets/liabilities measured at fair value through profit or loss</t>
  </si>
  <si>
    <t>AC       - Financial assets/liabilities measured at amortised cost</t>
  </si>
  <si>
    <t>In Indian Rupees Millions</t>
  </si>
  <si>
    <t>Financial liabilities</t>
  </si>
  <si>
    <t xml:space="preserve">  - due to depositors</t>
  </si>
  <si>
    <t xml:space="preserve">  - due to debt securities holders</t>
  </si>
  <si>
    <t xml:space="preserve">  - due to other borrowers</t>
  </si>
  <si>
    <t>ANALYSIS OF FINANCIAL DEPOSITS</t>
  </si>
  <si>
    <t>Other (Dormant/Margin/Vostro)</t>
  </si>
  <si>
    <t>ANALYSIS OF LOANS &amp; ADVANCES, COMMITMENTS, CONTINGENCIES AND
IMPAIRMENT</t>
  </si>
  <si>
    <t>Product-wise Gross loans &amp; advances</t>
  </si>
  <si>
    <t xml:space="preserve">    By Product - Domestic Currency</t>
  </si>
  <si>
    <t xml:space="preserve">          Overdrafts</t>
  </si>
  <si>
    <t xml:space="preserve">          Term Loans</t>
  </si>
  <si>
    <t xml:space="preserve">          Lease Rentals Receivable</t>
  </si>
  <si>
    <t xml:space="preserve">         Credit Cards</t>
  </si>
  <si>
    <t xml:space="preserve">         Pawning</t>
  </si>
  <si>
    <t xml:space="preserve">    Sub Total</t>
  </si>
  <si>
    <t xml:space="preserve">          Guarantees</t>
  </si>
  <si>
    <t xml:space="preserve">          Bonds</t>
  </si>
  <si>
    <t>Product-wise commitments and contigencies</t>
  </si>
  <si>
    <t xml:space="preserve">          Undrawn credit lines</t>
  </si>
  <si>
    <t>Stage-wise impairment on loans &amp; advances,</t>
  </si>
  <si>
    <t>commitments and contigencies</t>
  </si>
  <si>
    <t>Gross loans &amp; advances, commitments and</t>
  </si>
  <si>
    <t>contigencies</t>
  </si>
  <si>
    <t>Less : Accumulated impairment under stage 1</t>
  </si>
  <si>
    <t xml:space="preserve">            Accumulated impairment under stage 3</t>
  </si>
  <si>
    <t xml:space="preserve">            Accumulated impairment under stage 2</t>
  </si>
  <si>
    <t>and contigencies</t>
  </si>
  <si>
    <t>Net value of loans &amp; advances, commitments</t>
  </si>
  <si>
    <t>Movement of impairment during the period</t>
  </si>
  <si>
    <t>Under Stage 1</t>
  </si>
  <si>
    <t xml:space="preserve">     Charge/(Write back) to income statement</t>
  </si>
  <si>
    <t xml:space="preserve">     Write-off during the year</t>
  </si>
  <si>
    <t xml:space="preserve">     Other movements</t>
  </si>
  <si>
    <t>Under Stage 2</t>
  </si>
  <si>
    <t>Under Stage 3</t>
  </si>
  <si>
    <t>Total impairment</t>
  </si>
  <si>
    <t>Others - Foreign Exchange gain from FCBU</t>
  </si>
  <si>
    <t xml:space="preserve">Current  </t>
  </si>
  <si>
    <t>Period</t>
  </si>
  <si>
    <t xml:space="preserve">Previous </t>
  </si>
  <si>
    <t>Current</t>
  </si>
  <si>
    <t>Goodwill and intangible assets</t>
  </si>
  <si>
    <t>DRL</t>
  </si>
  <si>
    <t>VAT FS</t>
  </si>
  <si>
    <t>NBT FS</t>
  </si>
  <si>
    <t>Tier 1 Capital Ratio (%) (Minimum Requirement - 8.50%)</t>
  </si>
  <si>
    <t>Common Equity Tier 1 Capital (%) (Minimum Requirement - 7.00%)</t>
  </si>
  <si>
    <t>Total Capital Ratio (%) (Minimum Requirement - 12.50%)</t>
  </si>
  <si>
    <t>Statutory Liquid Assets Ratio, % (Minimum Requirement, 20%)</t>
  </si>
  <si>
    <t>31/03/2019</t>
  </si>
  <si>
    <t>Total Stock of High-Quality Liquid Assets (LKR in Millions)</t>
  </si>
  <si>
    <t>Liquidity Coverage Ratio (%) (Minimum Requirement - 100%)</t>
  </si>
  <si>
    <t xml:space="preserve">      Rupee (%)</t>
  </si>
  <si>
    <t xml:space="preserve">      All Currency (%)</t>
  </si>
  <si>
    <t>NA</t>
  </si>
  <si>
    <t>Stated capital/Assigned capital</t>
  </si>
  <si>
    <t>Leverage Ratio (Minimum Requirement - 3%)</t>
  </si>
  <si>
    <t xml:space="preserve">        Other Loans (Demand /Staff/Bills/NPA)</t>
  </si>
  <si>
    <t xml:space="preserve">    By Product - Foreign Currency</t>
  </si>
  <si>
    <t xml:space="preserve">          Letters of Credits</t>
  </si>
  <si>
    <t xml:space="preserve">          Bills of Exchange</t>
  </si>
  <si>
    <t xml:space="preserve">          Other Contigent Items</t>
  </si>
  <si>
    <t>Net fair value gains/(losses) on :</t>
  </si>
  <si>
    <t>01.04.2019</t>
  </si>
  <si>
    <r>
      <t xml:space="preserve">(b) The information contained in these  statements have been extracted from the </t>
    </r>
    <r>
      <rPr>
        <sz val="12"/>
        <color rgb="FFFF0000"/>
        <rFont val="Calibri"/>
        <family val="2"/>
      </rPr>
      <t>unaudited</t>
    </r>
    <r>
      <rPr>
        <sz val="12"/>
        <rFont val="Calibri"/>
        <family val="2"/>
      </rPr>
      <t xml:space="preserve"> financial statement of the Bank.</t>
    </r>
  </si>
  <si>
    <t>in LKR million</t>
  </si>
  <si>
    <t>in INR milion</t>
  </si>
  <si>
    <t>Total comprehensive income for the period attributable to :</t>
  </si>
  <si>
    <t>Net Stable Funding Ratio (%) - (Minimum Requirement - 100%)</t>
  </si>
  <si>
    <t>01.04.2020</t>
  </si>
  <si>
    <t>31.03.2020</t>
  </si>
  <si>
    <t>Balance as at 01/04/2020 (Opening balance)</t>
  </si>
  <si>
    <t>31/03/2020</t>
  </si>
  <si>
    <t>22.60</t>
  </si>
  <si>
    <t>214.44</t>
  </si>
  <si>
    <t xml:space="preserve">  </t>
  </si>
  <si>
    <t>10.72%</t>
  </si>
  <si>
    <t>FOR THE PERIOD ENDED 31.12.2020</t>
  </si>
  <si>
    <t>31.12.2020</t>
  </si>
  <si>
    <t>31.12.2019</t>
  </si>
  <si>
    <t>Balance as at 31/12/2020 (Closing balance)</t>
  </si>
  <si>
    <t>31/12/2020</t>
  </si>
  <si>
    <t>Shameer S</t>
  </si>
  <si>
    <t>AS AT 31.12.2020</t>
  </si>
  <si>
    <t>receivable</t>
  </si>
  <si>
    <t>tot adv</t>
  </si>
  <si>
    <t>rebated</t>
  </si>
  <si>
    <t>festival</t>
  </si>
  <si>
    <t xml:space="preserve">     Closing balance as 31.12.2020</t>
  </si>
  <si>
    <t>23.34%</t>
  </si>
  <si>
    <t>Date: 18.02.2021</t>
  </si>
  <si>
    <t>AS AT 31.03.2020</t>
  </si>
  <si>
    <t>ALL CCY</t>
  </si>
  <si>
    <t>LKR</t>
  </si>
  <si>
    <t>USD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</si>
</sst>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_);_(* \(#,##0\);_(* &quot;-&quot;??_);_(@_)"/>
    <numFmt numFmtId="165" formatCode="_-* #,##0_-;\-* #,##0_-;_-* &quot;-&quot;_-;_-@_-"/>
    <numFmt numFmtId="166" formatCode="_-* #,##0_-;\-* #,##0_-;_-* &quot;-&quot;??_-;_-@_-"/>
    <numFmt numFmtId="167" formatCode="_(* #,##0.000_);_(* \(#,##0.000\);_(* &quot;-&quot;??_);_(@_)"/>
  </numFmts>
  <fonts count="23" x14ac:knownFonts="1">
    <font>
      <sz val="11"/>
      <color theme="1"/>
      <name val="Calibri"/>
      <family val="2"/>
      <scheme val="minor"/>
    </font>
    <font>
      <sz val="11"/>
      <color indexed="8"/>
      <name val="Calibri"/>
      <family val="2"/>
    </font>
    <font>
      <sz val="11"/>
      <color indexed="8"/>
      <name val="Calibri"/>
      <family val="2"/>
    </font>
    <font>
      <b/>
      <sz val="11"/>
      <color indexed="8"/>
      <name val="Calibri"/>
      <family val="2"/>
    </font>
    <font>
      <b/>
      <sz val="12"/>
      <color indexed="8"/>
      <name val="Calibri"/>
      <family val="2"/>
    </font>
    <font>
      <sz val="12"/>
      <color indexed="8"/>
      <name val="Calibri"/>
      <family val="2"/>
    </font>
    <font>
      <sz val="10"/>
      <color indexed="8"/>
      <name val="Calibri"/>
      <family val="2"/>
    </font>
    <font>
      <sz val="12"/>
      <name val="Calibri"/>
      <family val="2"/>
    </font>
    <font>
      <sz val="11"/>
      <color indexed="8"/>
      <name val="Calibri"/>
      <family val="2"/>
    </font>
    <font>
      <b/>
      <sz val="11"/>
      <color indexed="8"/>
      <name val="Calibri"/>
      <family val="2"/>
    </font>
    <font>
      <b/>
      <sz val="12"/>
      <name val="Calibri"/>
      <family val="2"/>
    </font>
    <font>
      <sz val="10"/>
      <name val="Calibri"/>
      <family val="2"/>
    </font>
    <font>
      <sz val="12"/>
      <name val="Calibri"/>
      <family val="2"/>
      <scheme val="minor"/>
    </font>
    <font>
      <b/>
      <sz val="11"/>
      <color theme="1"/>
      <name val="Calibri"/>
      <family val="2"/>
      <scheme val="minor"/>
    </font>
    <font>
      <i/>
      <sz val="11"/>
      <color theme="1"/>
      <name val="Calibri"/>
      <family val="2"/>
      <scheme val="minor"/>
    </font>
    <font>
      <sz val="12"/>
      <color rgb="FFFF0000"/>
      <name val="Calibri"/>
      <family val="2"/>
    </font>
    <font>
      <sz val="11"/>
      <color rgb="FFFF0000"/>
      <name val="Calibri"/>
      <family val="2"/>
      <scheme val="minor"/>
    </font>
    <font>
      <b/>
      <sz val="11"/>
      <color rgb="FFFF0000"/>
      <name val="Calibri"/>
      <family val="2"/>
      <scheme val="minor"/>
    </font>
    <font>
      <sz val="9"/>
      <color indexed="81"/>
      <name val="Tahoma"/>
      <family val="2"/>
    </font>
    <font>
      <b/>
      <sz val="9"/>
      <color indexed="81"/>
      <name val="Tahoma"/>
      <family val="2"/>
    </font>
    <font>
      <sz val="11"/>
      <color theme="1"/>
      <name val="Calibri"/>
      <family val="2"/>
      <scheme val="minor"/>
    </font>
    <font>
      <sz val="12"/>
      <color theme="1"/>
      <name val="Calibri"/>
      <family val="2"/>
    </font>
    <font>
      <b/>
      <sz val="12"/>
      <color theme="1"/>
      <name val="Calibri"/>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4" tint="0.39997558519241921"/>
        <bgColor indexed="64"/>
      </patternFill>
    </fill>
    <fill>
      <patternFill patternType="solid">
        <fgColor theme="0" tint="-0.249977111117893"/>
        <bgColor indexed="64"/>
      </patternFill>
    </fill>
  </fills>
  <borders count="3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s>
  <cellStyleXfs count="7">
    <xf numFmtId="0" fontId="0" fillId="0" borderId="0"/>
    <xf numFmtId="43" fontId="2" fillId="0" borderId="0" applyFont="0" applyFill="0" applyBorder="0" applyAlignment="0" applyProtection="0"/>
    <xf numFmtId="43" fontId="1" fillId="0" borderId="0" applyFont="0" applyFill="0" applyBorder="0" applyAlignment="0" applyProtection="0"/>
    <xf numFmtId="9" fontId="8"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20" fillId="0" borderId="0"/>
  </cellStyleXfs>
  <cellXfs count="389">
    <xf numFmtId="0" fontId="0" fillId="0" borderId="0" xfId="0"/>
    <xf numFmtId="49" fontId="0" fillId="0" borderId="0" xfId="0" applyNumberFormat="1"/>
    <xf numFmtId="49" fontId="4" fillId="0" borderId="0" xfId="0" applyNumberFormat="1" applyFont="1"/>
    <xf numFmtId="49" fontId="5" fillId="0" borderId="0" xfId="0" applyNumberFormat="1" applyFont="1"/>
    <xf numFmtId="49" fontId="5" fillId="0" borderId="0" xfId="0" applyNumberFormat="1" applyFont="1" applyBorder="1"/>
    <xf numFmtId="49" fontId="4" fillId="0" borderId="0" xfId="0" applyNumberFormat="1" applyFont="1" applyBorder="1"/>
    <xf numFmtId="49" fontId="5" fillId="0" borderId="4" xfId="0" applyNumberFormat="1" applyFont="1" applyBorder="1"/>
    <xf numFmtId="164" fontId="5" fillId="0" borderId="0" xfId="1" applyNumberFormat="1" applyFont="1"/>
    <xf numFmtId="164" fontId="2" fillId="0" borderId="0" xfId="1" applyNumberFormat="1" applyFont="1"/>
    <xf numFmtId="49" fontId="3" fillId="0" borderId="0" xfId="0" applyNumberFormat="1" applyFont="1"/>
    <xf numFmtId="49" fontId="0" fillId="0" borderId="0" xfId="0" applyNumberFormat="1" applyFont="1"/>
    <xf numFmtId="2" fontId="0" fillId="0" borderId="0" xfId="0" applyNumberFormat="1"/>
    <xf numFmtId="43" fontId="2" fillId="0" borderId="0" xfId="1" applyFont="1"/>
    <xf numFmtId="2" fontId="2" fillId="0" borderId="0" xfId="1" applyNumberFormat="1" applyFont="1"/>
    <xf numFmtId="4" fontId="2" fillId="0" borderId="0" xfId="1" applyNumberFormat="1" applyFont="1"/>
    <xf numFmtId="49" fontId="6" fillId="0" borderId="0" xfId="0" applyNumberFormat="1" applyFont="1" applyBorder="1"/>
    <xf numFmtId="0" fontId="0" fillId="0" borderId="0" xfId="0" applyBorder="1"/>
    <xf numFmtId="0" fontId="3" fillId="0" borderId="0" xfId="0" applyFont="1" applyBorder="1"/>
    <xf numFmtId="164" fontId="4" fillId="0" borderId="0" xfId="1" applyNumberFormat="1" applyFont="1" applyBorder="1"/>
    <xf numFmtId="164" fontId="8" fillId="0" borderId="0" xfId="1" applyNumberFormat="1" applyFont="1"/>
    <xf numFmtId="164" fontId="8" fillId="0" borderId="0" xfId="1" applyNumberFormat="1" applyFont="1" applyBorder="1"/>
    <xf numFmtId="0" fontId="4" fillId="0" borderId="0" xfId="0" applyFont="1"/>
    <xf numFmtId="164" fontId="0" fillId="0" borderId="0" xfId="0" applyNumberFormat="1"/>
    <xf numFmtId="164" fontId="0" fillId="0" borderId="0" xfId="0" applyNumberFormat="1" applyBorder="1"/>
    <xf numFmtId="49" fontId="5" fillId="0" borderId="0" xfId="0" applyNumberFormat="1" applyFont="1" applyAlignment="1">
      <alignment horizontal="center"/>
    </xf>
    <xf numFmtId="49" fontId="4" fillId="0" borderId="5" xfId="0" applyNumberFormat="1" applyFont="1" applyBorder="1"/>
    <xf numFmtId="49" fontId="5" fillId="0" borderId="5" xfId="0" applyNumberFormat="1" applyFont="1" applyBorder="1"/>
    <xf numFmtId="164" fontId="5" fillId="0" borderId="5" xfId="1" applyNumberFormat="1" applyFont="1" applyBorder="1"/>
    <xf numFmtId="164" fontId="4" fillId="0" borderId="5" xfId="1" applyNumberFormat="1" applyFont="1" applyBorder="1"/>
    <xf numFmtId="49" fontId="5" fillId="2" borderId="0" xfId="0" applyNumberFormat="1" applyFont="1" applyFill="1"/>
    <xf numFmtId="49" fontId="5" fillId="2" borderId="1" xfId="0" applyNumberFormat="1" applyFont="1" applyFill="1" applyBorder="1"/>
    <xf numFmtId="0" fontId="0" fillId="0" borderId="5" xfId="0" applyBorder="1"/>
    <xf numFmtId="0" fontId="9" fillId="0" borderId="5" xfId="0" applyFont="1" applyBorder="1"/>
    <xf numFmtId="0" fontId="0" fillId="2" borderId="8" xfId="0" applyFill="1" applyBorder="1"/>
    <xf numFmtId="0" fontId="0" fillId="2" borderId="1" xfId="0" applyFill="1" applyBorder="1"/>
    <xf numFmtId="0" fontId="0" fillId="2" borderId="9" xfId="0" applyFill="1" applyBorder="1"/>
    <xf numFmtId="0" fontId="0" fillId="2" borderId="10" xfId="0" applyFill="1" applyBorder="1"/>
    <xf numFmtId="0" fontId="0" fillId="2" borderId="0" xfId="0" applyFill="1" applyBorder="1"/>
    <xf numFmtId="0" fontId="3" fillId="2" borderId="10" xfId="0" applyFont="1" applyFill="1" applyBorder="1"/>
    <xf numFmtId="0" fontId="0" fillId="2" borderId="13" xfId="0" applyFill="1" applyBorder="1"/>
    <xf numFmtId="0" fontId="3" fillId="0" borderId="14" xfId="0" applyFont="1" applyBorder="1"/>
    <xf numFmtId="49" fontId="5" fillId="2" borderId="7" xfId="0" applyNumberFormat="1" applyFont="1" applyFill="1" applyBorder="1"/>
    <xf numFmtId="49" fontId="5" fillId="2" borderId="4" xfId="0" applyNumberFormat="1" applyFont="1" applyFill="1" applyBorder="1"/>
    <xf numFmtId="49" fontId="4" fillId="2" borderId="7" xfId="0" applyNumberFormat="1" applyFont="1" applyFill="1" applyBorder="1"/>
    <xf numFmtId="49" fontId="5" fillId="2" borderId="6" xfId="0" applyNumberFormat="1" applyFont="1" applyFill="1" applyBorder="1"/>
    <xf numFmtId="164" fontId="5" fillId="2" borderId="1" xfId="1" applyNumberFormat="1" applyFont="1" applyFill="1" applyBorder="1"/>
    <xf numFmtId="49" fontId="5" fillId="2" borderId="16" xfId="0" applyNumberFormat="1" applyFont="1" applyFill="1" applyBorder="1"/>
    <xf numFmtId="49" fontId="5" fillId="2" borderId="17" xfId="0" applyNumberFormat="1" applyFont="1" applyFill="1" applyBorder="1"/>
    <xf numFmtId="49" fontId="4" fillId="0" borderId="5" xfId="0" applyNumberFormat="1" applyFont="1" applyBorder="1" applyAlignment="1"/>
    <xf numFmtId="49" fontId="5" fillId="0" borderId="5" xfId="0" applyNumberFormat="1" applyFont="1" applyBorder="1" applyAlignment="1"/>
    <xf numFmtId="49" fontId="4" fillId="2" borderId="3" xfId="0" applyNumberFormat="1" applyFont="1" applyFill="1" applyBorder="1"/>
    <xf numFmtId="49" fontId="4" fillId="2" borderId="0" xfId="0" applyNumberFormat="1" applyFont="1" applyFill="1" applyBorder="1"/>
    <xf numFmtId="49" fontId="5" fillId="2" borderId="0" xfId="0" applyNumberFormat="1" applyFont="1" applyFill="1" applyBorder="1"/>
    <xf numFmtId="49" fontId="5" fillId="0" borderId="18" xfId="0" applyNumberFormat="1" applyFont="1" applyBorder="1" applyAlignment="1"/>
    <xf numFmtId="49" fontId="4" fillId="2" borderId="0" xfId="0" applyNumberFormat="1" applyFont="1" applyFill="1" applyBorder="1" applyAlignment="1"/>
    <xf numFmtId="49" fontId="0" fillId="0" borderId="0" xfId="0" applyNumberFormat="1" applyBorder="1"/>
    <xf numFmtId="49" fontId="4" fillId="2" borderId="4" xfId="0" applyNumberFormat="1" applyFont="1" applyFill="1" applyBorder="1" applyAlignment="1">
      <alignment horizontal="center"/>
    </xf>
    <xf numFmtId="49" fontId="4" fillId="2" borderId="7" xfId="0" applyNumberFormat="1" applyFont="1" applyFill="1" applyBorder="1" applyAlignment="1">
      <alignment horizontal="center"/>
    </xf>
    <xf numFmtId="49" fontId="4" fillId="2" borderId="6" xfId="0" applyNumberFormat="1" applyFont="1" applyFill="1" applyBorder="1" applyAlignment="1">
      <alignment horizontal="center"/>
    </xf>
    <xf numFmtId="0" fontId="0" fillId="2" borderId="4" xfId="0" applyFill="1" applyBorder="1" applyAlignment="1"/>
    <xf numFmtId="49" fontId="4" fillId="2" borderId="4" xfId="0" applyNumberFormat="1" applyFont="1" applyFill="1" applyBorder="1" applyAlignment="1">
      <alignment horizontal="right"/>
    </xf>
    <xf numFmtId="49" fontId="4" fillId="2" borderId="7" xfId="0" applyNumberFormat="1" applyFont="1" applyFill="1" applyBorder="1" applyAlignment="1">
      <alignment horizontal="center" wrapText="1"/>
    </xf>
    <xf numFmtId="49" fontId="0" fillId="2" borderId="0" xfId="0" applyNumberFormat="1" applyFill="1"/>
    <xf numFmtId="164" fontId="2" fillId="2" borderId="0" xfId="1" applyNumberFormat="1" applyFont="1" applyFill="1"/>
    <xf numFmtId="49" fontId="4" fillId="2" borderId="4" xfId="0" applyNumberFormat="1" applyFont="1" applyFill="1" applyBorder="1" applyAlignment="1">
      <alignment horizontal="center" vertical="center"/>
    </xf>
    <xf numFmtId="49" fontId="4" fillId="2" borderId="7" xfId="0" applyNumberFormat="1" applyFont="1" applyFill="1" applyBorder="1" applyAlignment="1">
      <alignment horizontal="center" vertical="center"/>
    </xf>
    <xf numFmtId="49" fontId="4" fillId="2" borderId="6" xfId="0" applyNumberFormat="1" applyFont="1" applyFill="1" applyBorder="1" applyAlignment="1">
      <alignment horizontal="center" vertical="center"/>
    </xf>
    <xf numFmtId="49" fontId="4" fillId="2" borderId="4" xfId="0" applyNumberFormat="1" applyFont="1" applyFill="1" applyBorder="1"/>
    <xf numFmtId="49" fontId="4" fillId="2" borderId="6" xfId="0" applyNumberFormat="1" applyFont="1" applyFill="1" applyBorder="1"/>
    <xf numFmtId="2" fontId="5" fillId="0" borderId="5" xfId="0" applyNumberFormat="1" applyFont="1" applyBorder="1"/>
    <xf numFmtId="164" fontId="8" fillId="0" borderId="5" xfId="1" applyNumberFormat="1" applyFont="1" applyBorder="1"/>
    <xf numFmtId="0" fontId="3" fillId="2" borderId="4" xfId="0" applyFont="1" applyFill="1" applyBorder="1" applyAlignment="1">
      <alignment horizontal="center"/>
    </xf>
    <xf numFmtId="0" fontId="3" fillId="2" borderId="7" xfId="0" applyFont="1" applyFill="1" applyBorder="1" applyAlignment="1">
      <alignment horizontal="center"/>
    </xf>
    <xf numFmtId="0" fontId="3" fillId="2" borderId="6" xfId="0" applyFont="1" applyFill="1" applyBorder="1"/>
    <xf numFmtId="0" fontId="3" fillId="2" borderId="11" xfId="0" applyFont="1" applyFill="1" applyBorder="1" applyAlignment="1">
      <alignment horizontal="center"/>
    </xf>
    <xf numFmtId="0" fontId="3" fillId="2" borderId="12" xfId="0" applyFont="1" applyFill="1" applyBorder="1" applyAlignment="1">
      <alignment horizontal="center"/>
    </xf>
    <xf numFmtId="164" fontId="4" fillId="2" borderId="0" xfId="1" applyNumberFormat="1" applyFont="1" applyFill="1" applyBorder="1"/>
    <xf numFmtId="49" fontId="5" fillId="0" borderId="16" xfId="0" applyNumberFormat="1" applyFont="1" applyBorder="1"/>
    <xf numFmtId="164" fontId="5" fillId="0" borderId="0" xfId="1" applyNumberFormat="1" applyFont="1" applyBorder="1"/>
    <xf numFmtId="164" fontId="5" fillId="0" borderId="18" xfId="1" applyNumberFormat="1" applyFont="1" applyBorder="1" applyAlignment="1"/>
    <xf numFmtId="164" fontId="4" fillId="0" borderId="18" xfId="1" applyNumberFormat="1" applyFont="1" applyBorder="1" applyAlignment="1"/>
    <xf numFmtId="49" fontId="5" fillId="0" borderId="5" xfId="0" applyNumberFormat="1" applyFont="1" applyBorder="1" applyAlignment="1">
      <alignment horizontal="right"/>
    </xf>
    <xf numFmtId="3" fontId="5" fillId="0" borderId="5" xfId="0" applyNumberFormat="1" applyFont="1" applyBorder="1" applyAlignment="1">
      <alignment horizontal="right"/>
    </xf>
    <xf numFmtId="164" fontId="4" fillId="0" borderId="4" xfId="1" applyNumberFormat="1" applyFont="1" applyBorder="1" applyAlignment="1">
      <alignment horizontal="center" wrapText="1"/>
    </xf>
    <xf numFmtId="164" fontId="4" fillId="2" borderId="7" xfId="1" applyNumberFormat="1" applyFont="1" applyFill="1" applyBorder="1" applyAlignment="1">
      <alignment horizontal="center"/>
    </xf>
    <xf numFmtId="164" fontId="4" fillId="0" borderId="6" xfId="1" applyNumberFormat="1" applyFont="1" applyBorder="1" applyAlignment="1">
      <alignment horizontal="center"/>
    </xf>
    <xf numFmtId="2" fontId="4" fillId="2" borderId="7" xfId="1" applyNumberFormat="1" applyFont="1" applyFill="1" applyBorder="1" applyAlignment="1">
      <alignment horizontal="center"/>
    </xf>
    <xf numFmtId="2" fontId="4" fillId="2" borderId="6" xfId="1" applyNumberFormat="1" applyFont="1" applyFill="1" applyBorder="1" applyAlignment="1">
      <alignment horizontal="center"/>
    </xf>
    <xf numFmtId="49" fontId="5" fillId="0" borderId="5" xfId="0" applyNumberFormat="1" applyFont="1" applyBorder="1" applyAlignment="1">
      <alignment horizontal="center"/>
    </xf>
    <xf numFmtId="49" fontId="5" fillId="0" borderId="0" xfId="0" applyNumberFormat="1" applyFont="1" applyFill="1"/>
    <xf numFmtId="2" fontId="3" fillId="0" borderId="0" xfId="0" applyNumberFormat="1" applyFont="1"/>
    <xf numFmtId="49" fontId="5" fillId="0" borderId="5" xfId="0" applyNumberFormat="1" applyFont="1" applyFill="1" applyBorder="1" applyAlignment="1">
      <alignment horizontal="right"/>
    </xf>
    <xf numFmtId="3" fontId="5" fillId="0" borderId="5" xfId="0" applyNumberFormat="1" applyFont="1" applyFill="1" applyBorder="1" applyAlignment="1">
      <alignment horizontal="right"/>
    </xf>
    <xf numFmtId="164" fontId="3" fillId="0" borderId="5" xfId="1" applyNumberFormat="1" applyFont="1" applyBorder="1"/>
    <xf numFmtId="164" fontId="5" fillId="0" borderId="5" xfId="1" applyNumberFormat="1" applyFont="1" applyFill="1" applyBorder="1"/>
    <xf numFmtId="0" fontId="7" fillId="0" borderId="0" xfId="0" applyFont="1" applyAlignment="1">
      <alignment horizontal="left" wrapText="1"/>
    </xf>
    <xf numFmtId="0" fontId="7" fillId="0" borderId="0" xfId="0" applyFont="1" applyAlignment="1">
      <alignment horizontal="left"/>
    </xf>
    <xf numFmtId="164" fontId="5" fillId="0" borderId="5" xfId="2" applyNumberFormat="1" applyFont="1" applyBorder="1"/>
    <xf numFmtId="164" fontId="0" fillId="0" borderId="0" xfId="1" applyNumberFormat="1" applyFont="1"/>
    <xf numFmtId="10" fontId="5" fillId="0" borderId="5" xfId="3" applyNumberFormat="1" applyFont="1" applyBorder="1" applyAlignment="1">
      <alignment horizontal="right"/>
    </xf>
    <xf numFmtId="0" fontId="10" fillId="0" borderId="0" xfId="0" applyFont="1" applyAlignment="1">
      <alignment horizontal="left"/>
    </xf>
    <xf numFmtId="0" fontId="11" fillId="0" borderId="0" xfId="0" applyFont="1" applyBorder="1"/>
    <xf numFmtId="165" fontId="11" fillId="0" borderId="0" xfId="0" applyNumberFormat="1" applyFont="1" applyBorder="1"/>
    <xf numFmtId="49" fontId="5" fillId="2" borderId="5" xfId="0" applyNumberFormat="1" applyFont="1" applyFill="1" applyBorder="1"/>
    <xf numFmtId="49" fontId="4" fillId="4" borderId="4" xfId="0" applyNumberFormat="1" applyFont="1" applyFill="1" applyBorder="1"/>
    <xf numFmtId="49" fontId="4" fillId="4" borderId="6" xfId="0" applyNumberFormat="1" applyFont="1" applyFill="1" applyBorder="1"/>
    <xf numFmtId="49" fontId="4" fillId="4" borderId="6" xfId="0" applyNumberFormat="1" applyFont="1" applyFill="1" applyBorder="1" applyAlignment="1">
      <alignment horizontal="center" vertical="center"/>
    </xf>
    <xf numFmtId="164" fontId="4" fillId="0" borderId="5" xfId="2" applyNumberFormat="1" applyFont="1" applyBorder="1"/>
    <xf numFmtId="164" fontId="5" fillId="0" borderId="0" xfId="2" applyNumberFormat="1" applyFont="1" applyBorder="1"/>
    <xf numFmtId="49" fontId="5" fillId="4" borderId="16" xfId="0" applyNumberFormat="1" applyFont="1" applyFill="1" applyBorder="1"/>
    <xf numFmtId="49" fontId="5" fillId="4" borderId="0" xfId="0" applyNumberFormat="1" applyFont="1" applyFill="1" applyBorder="1"/>
    <xf numFmtId="43" fontId="0" fillId="0" borderId="0" xfId="1" applyFont="1"/>
    <xf numFmtId="164" fontId="9" fillId="0" borderId="0" xfId="1" applyNumberFormat="1" applyFont="1" applyBorder="1"/>
    <xf numFmtId="164" fontId="3" fillId="2" borderId="4" xfId="1" applyNumberFormat="1" applyFont="1" applyFill="1" applyBorder="1" applyAlignment="1">
      <alignment horizontal="center"/>
    </xf>
    <xf numFmtId="164" fontId="3" fillId="2" borderId="7" xfId="1" applyNumberFormat="1" applyFont="1" applyFill="1" applyBorder="1" applyAlignment="1">
      <alignment horizontal="center"/>
    </xf>
    <xf numFmtId="164" fontId="3" fillId="2" borderId="6" xfId="1" applyNumberFormat="1" applyFont="1" applyFill="1" applyBorder="1"/>
    <xf numFmtId="164" fontId="0" fillId="0" borderId="5" xfId="1" applyNumberFormat="1" applyFont="1" applyBorder="1"/>
    <xf numFmtId="164" fontId="0" fillId="0" borderId="0" xfId="1" applyNumberFormat="1" applyFont="1" applyBorder="1"/>
    <xf numFmtId="164" fontId="8" fillId="0" borderId="5" xfId="1" applyNumberFormat="1" applyFont="1" applyFill="1" applyBorder="1"/>
    <xf numFmtId="164" fontId="4" fillId="0" borderId="5" xfId="2" applyNumberFormat="1" applyFont="1" applyFill="1" applyBorder="1"/>
    <xf numFmtId="49" fontId="4" fillId="0" borderId="5" xfId="0" applyNumberFormat="1" applyFont="1" applyFill="1" applyBorder="1" applyAlignment="1">
      <alignment horizontal="center" vertical="center" wrapText="1"/>
    </xf>
    <xf numFmtId="49" fontId="4" fillId="0" borderId="0" xfId="0" applyNumberFormat="1" applyFont="1" applyFill="1" applyBorder="1"/>
    <xf numFmtId="49" fontId="13" fillId="0" borderId="0" xfId="0" applyNumberFormat="1" applyFont="1"/>
    <xf numFmtId="9" fontId="5" fillId="0" borderId="5" xfId="3" applyFont="1" applyBorder="1" applyAlignment="1">
      <alignment horizontal="right"/>
    </xf>
    <xf numFmtId="10" fontId="5" fillId="0" borderId="5" xfId="3" applyNumberFormat="1" applyFont="1" applyFill="1" applyBorder="1" applyAlignment="1">
      <alignment horizontal="right"/>
    </xf>
    <xf numFmtId="0" fontId="0" fillId="0" borderId="0" xfId="0" applyFill="1"/>
    <xf numFmtId="49" fontId="5" fillId="0" borderId="22" xfId="0" applyNumberFormat="1" applyFont="1" applyFill="1" applyBorder="1"/>
    <xf numFmtId="49" fontId="4" fillId="0" borderId="16" xfId="0" applyNumberFormat="1" applyFont="1" applyFill="1" applyBorder="1"/>
    <xf numFmtId="49" fontId="5" fillId="0" borderId="16" xfId="0" applyNumberFormat="1" applyFont="1" applyFill="1" applyBorder="1"/>
    <xf numFmtId="49" fontId="4" fillId="0" borderId="6" xfId="0" applyNumberFormat="1" applyFont="1" applyFill="1" applyBorder="1" applyAlignment="1">
      <alignment horizontal="center" wrapText="1"/>
    </xf>
    <xf numFmtId="49" fontId="4" fillId="0" borderId="5" xfId="0" applyNumberFormat="1" applyFont="1" applyFill="1" applyBorder="1"/>
    <xf numFmtId="2" fontId="4" fillId="0" borderId="5" xfId="0" applyNumberFormat="1" applyFont="1" applyFill="1" applyBorder="1"/>
    <xf numFmtId="49" fontId="5" fillId="0" borderId="5" xfId="0" applyNumberFormat="1" applyFont="1" applyFill="1" applyBorder="1"/>
    <xf numFmtId="164" fontId="4" fillId="0" borderId="5" xfId="1" applyNumberFormat="1" applyFont="1" applyFill="1" applyBorder="1"/>
    <xf numFmtId="10" fontId="5" fillId="0" borderId="5" xfId="0" applyNumberFormat="1" applyFont="1" applyFill="1" applyBorder="1" applyAlignment="1">
      <alignment horizontal="right"/>
    </xf>
    <xf numFmtId="49" fontId="5" fillId="5" borderId="2" xfId="0" applyNumberFormat="1" applyFont="1" applyFill="1" applyBorder="1"/>
    <xf numFmtId="49" fontId="5" fillId="5" borderId="15" xfId="0" applyNumberFormat="1" applyFont="1" applyFill="1" applyBorder="1"/>
    <xf numFmtId="49" fontId="4" fillId="5" borderId="18" xfId="0" applyNumberFormat="1" applyFont="1" applyFill="1" applyBorder="1" applyAlignment="1">
      <alignment horizontal="center" vertical="center"/>
    </xf>
    <xf numFmtId="49" fontId="5" fillId="5" borderId="3" xfId="0" applyNumberFormat="1" applyFont="1" applyFill="1" applyBorder="1"/>
    <xf numFmtId="49" fontId="5" fillId="5" borderId="19" xfId="0" applyNumberFormat="1" applyFont="1" applyFill="1" applyBorder="1"/>
    <xf numFmtId="49" fontId="5" fillId="5" borderId="1" xfId="0" applyNumberFormat="1" applyFont="1" applyFill="1" applyBorder="1"/>
    <xf numFmtId="49" fontId="5" fillId="5" borderId="20" xfId="0" applyNumberFormat="1" applyFont="1" applyFill="1" applyBorder="1"/>
    <xf numFmtId="49" fontId="5" fillId="0" borderId="0" xfId="0" applyNumberFormat="1" applyFont="1" applyFill="1" applyBorder="1"/>
    <xf numFmtId="164" fontId="5" fillId="0" borderId="5" xfId="4" applyNumberFormat="1" applyFont="1" applyBorder="1"/>
    <xf numFmtId="164" fontId="2" fillId="0" borderId="0" xfId="1" applyNumberFormat="1" applyFont="1" applyFill="1"/>
    <xf numFmtId="164" fontId="5" fillId="0" borderId="5" xfId="1" applyNumberFormat="1" applyFont="1" applyFill="1" applyBorder="1" applyAlignment="1">
      <alignment horizontal="right"/>
    </xf>
    <xf numFmtId="165" fontId="11" fillId="0" borderId="0" xfId="0" applyNumberFormat="1" applyFont="1" applyFill="1" applyBorder="1"/>
    <xf numFmtId="0" fontId="7" fillId="0" borderId="0" xfId="0" applyFont="1" applyFill="1" applyAlignment="1">
      <alignment horizontal="left"/>
    </xf>
    <xf numFmtId="49" fontId="6" fillId="0" borderId="0" xfId="0" applyNumberFormat="1" applyFont="1" applyFill="1" applyBorder="1"/>
    <xf numFmtId="49" fontId="4" fillId="0" borderId="6" xfId="0" applyNumberFormat="1" applyFont="1" applyBorder="1"/>
    <xf numFmtId="164" fontId="4" fillId="0" borderId="6" xfId="1" applyNumberFormat="1" applyFont="1" applyBorder="1"/>
    <xf numFmtId="164" fontId="4" fillId="0" borderId="4" xfId="1" applyNumberFormat="1" applyFont="1" applyBorder="1"/>
    <xf numFmtId="49" fontId="3" fillId="0" borderId="0" xfId="0" applyNumberFormat="1" applyFont="1" applyBorder="1"/>
    <xf numFmtId="49" fontId="5" fillId="0" borderId="6" xfId="0" applyNumberFormat="1" applyFont="1" applyBorder="1"/>
    <xf numFmtId="164" fontId="5" fillId="0" borderId="6" xfId="1" applyNumberFormat="1" applyFont="1" applyBorder="1"/>
    <xf numFmtId="164" fontId="5" fillId="0" borderId="4" xfId="1" applyNumberFormat="1" applyFont="1" applyBorder="1"/>
    <xf numFmtId="164" fontId="5" fillId="0" borderId="6" xfId="1" applyNumberFormat="1" applyFont="1" applyFill="1" applyBorder="1"/>
    <xf numFmtId="49" fontId="5" fillId="0" borderId="7" xfId="0" applyNumberFormat="1" applyFont="1" applyBorder="1"/>
    <xf numFmtId="49" fontId="0" fillId="0" borderId="16" xfId="0" applyNumberFormat="1" applyBorder="1"/>
    <xf numFmtId="49" fontId="14" fillId="0" borderId="0" xfId="0" applyNumberFormat="1" applyFont="1"/>
    <xf numFmtId="49" fontId="4" fillId="0" borderId="4" xfId="0" applyNumberFormat="1" applyFont="1" applyBorder="1"/>
    <xf numFmtId="164" fontId="5" fillId="0" borderId="19" xfId="1" applyNumberFormat="1" applyFont="1" applyBorder="1"/>
    <xf numFmtId="49" fontId="4" fillId="2" borderId="6" xfId="0" applyNumberFormat="1" applyFont="1" applyFill="1" applyBorder="1" applyAlignment="1">
      <alignment horizontal="center" wrapText="1"/>
    </xf>
    <xf numFmtId="0" fontId="0" fillId="0" borderId="0" xfId="0" applyFont="1" applyFill="1"/>
    <xf numFmtId="49" fontId="5" fillId="0" borderId="5" xfId="0" applyNumberFormat="1" applyFont="1" applyFill="1" applyBorder="1" applyAlignment="1">
      <alignment wrapText="1"/>
    </xf>
    <xf numFmtId="49" fontId="5" fillId="0" borderId="5" xfId="0" applyNumberFormat="1" applyFont="1" applyFill="1" applyBorder="1" applyAlignment="1"/>
    <xf numFmtId="10" fontId="12" fillId="0" borderId="5" xfId="0" applyNumberFormat="1" applyFont="1" applyFill="1" applyBorder="1"/>
    <xf numFmtId="49" fontId="4" fillId="2" borderId="3" xfId="0" applyNumberFormat="1" applyFont="1" applyFill="1" applyBorder="1" applyAlignment="1"/>
    <xf numFmtId="49" fontId="4" fillId="2" borderId="16" xfId="0" applyNumberFormat="1" applyFont="1" applyFill="1" applyBorder="1" applyAlignment="1"/>
    <xf numFmtId="49" fontId="4" fillId="4" borderId="0" xfId="0" applyNumberFormat="1" applyFont="1" applyFill="1" applyBorder="1" applyAlignment="1"/>
    <xf numFmtId="49" fontId="4" fillId="0" borderId="0" xfId="0" applyNumberFormat="1" applyFont="1" applyFill="1" applyBorder="1" applyAlignment="1"/>
    <xf numFmtId="49" fontId="4" fillId="4" borderId="17" xfId="0" applyNumberFormat="1" applyFont="1" applyFill="1" applyBorder="1" applyAlignment="1"/>
    <xf numFmtId="49" fontId="4" fillId="4" borderId="1" xfId="0" applyNumberFormat="1" applyFont="1" applyFill="1" applyBorder="1" applyAlignment="1"/>
    <xf numFmtId="49" fontId="4" fillId="5" borderId="5" xfId="0" applyNumberFormat="1" applyFont="1" applyFill="1" applyBorder="1" applyAlignment="1"/>
    <xf numFmtId="49" fontId="4" fillId="4" borderId="5" xfId="0" applyNumberFormat="1" applyFont="1" applyFill="1" applyBorder="1"/>
    <xf numFmtId="49" fontId="4" fillId="2" borderId="5" xfId="0" applyNumberFormat="1" applyFont="1" applyFill="1" applyBorder="1" applyAlignment="1">
      <alignment horizontal="center" vertical="center"/>
    </xf>
    <xf numFmtId="49" fontId="4" fillId="4" borderId="5" xfId="0" applyNumberFormat="1" applyFont="1" applyFill="1" applyBorder="1" applyAlignment="1">
      <alignment horizontal="center" vertical="center"/>
    </xf>
    <xf numFmtId="0" fontId="13" fillId="2" borderId="13" xfId="0" applyFont="1" applyFill="1" applyBorder="1"/>
    <xf numFmtId="0" fontId="3" fillId="0" borderId="27" xfId="0" applyFont="1" applyBorder="1"/>
    <xf numFmtId="0" fontId="9" fillId="0" borderId="15" xfId="0" applyFont="1" applyBorder="1"/>
    <xf numFmtId="0" fontId="0" fillId="2" borderId="28" xfId="0" applyFill="1" applyBorder="1"/>
    <xf numFmtId="0" fontId="0" fillId="2" borderId="3" xfId="0" applyFill="1" applyBorder="1"/>
    <xf numFmtId="164" fontId="3" fillId="0" borderId="0" xfId="1" applyNumberFormat="1" applyFont="1" applyBorder="1"/>
    <xf numFmtId="0" fontId="0" fillId="0" borderId="15" xfId="0" applyBorder="1"/>
    <xf numFmtId="0" fontId="0" fillId="0" borderId="18" xfId="0" applyBorder="1"/>
    <xf numFmtId="0" fontId="3" fillId="0" borderId="28" xfId="0" applyFont="1" applyBorder="1"/>
    <xf numFmtId="0" fontId="9" fillId="0" borderId="19" xfId="0" applyFont="1" applyBorder="1"/>
    <xf numFmtId="0" fontId="9" fillId="0" borderId="32" xfId="0" applyFont="1" applyBorder="1"/>
    <xf numFmtId="0" fontId="3" fillId="0" borderId="33" xfId="0" applyFont="1" applyBorder="1"/>
    <xf numFmtId="164" fontId="4" fillId="0" borderId="7" xfId="1" applyNumberFormat="1" applyFont="1" applyBorder="1" applyAlignment="1">
      <alignment horizontal="center" wrapText="1"/>
    </xf>
    <xf numFmtId="49" fontId="4" fillId="0" borderId="5" xfId="0" applyNumberFormat="1" applyFont="1" applyFill="1" applyBorder="1" applyAlignment="1">
      <alignment horizontal="center"/>
    </xf>
    <xf numFmtId="49" fontId="5" fillId="0" borderId="6" xfId="0" applyNumberFormat="1" applyFont="1" applyFill="1" applyBorder="1"/>
    <xf numFmtId="49" fontId="4" fillId="0" borderId="7" xfId="0" applyNumberFormat="1" applyFont="1" applyFill="1" applyBorder="1" applyAlignment="1">
      <alignment horizontal="center" wrapText="1"/>
    </xf>
    <xf numFmtId="164" fontId="4" fillId="0" borderId="26" xfId="1" applyNumberFormat="1" applyFont="1" applyFill="1" applyBorder="1"/>
    <xf numFmtId="164" fontId="5" fillId="0" borderId="4" xfId="1" applyNumberFormat="1" applyFont="1" applyFill="1" applyBorder="1" applyAlignment="1">
      <alignment horizontal="right"/>
    </xf>
    <xf numFmtId="164" fontId="4" fillId="0" borderId="5" xfId="1" applyNumberFormat="1" applyFont="1" applyFill="1" applyBorder="1" applyAlignment="1">
      <alignment horizontal="right"/>
    </xf>
    <xf numFmtId="164" fontId="4" fillId="0" borderId="26" xfId="1" applyNumberFormat="1" applyFont="1" applyFill="1" applyBorder="1" applyAlignment="1">
      <alignment horizontal="right"/>
    </xf>
    <xf numFmtId="164" fontId="5" fillId="0" borderId="6" xfId="1" applyNumberFormat="1" applyFont="1" applyFill="1" applyBorder="1" applyAlignment="1">
      <alignment horizontal="right"/>
    </xf>
    <xf numFmtId="164" fontId="4" fillId="0" borderId="4" xfId="2" applyNumberFormat="1" applyFont="1" applyFill="1" applyBorder="1" applyAlignment="1">
      <alignment horizontal="center" wrapText="1"/>
    </xf>
    <xf numFmtId="164" fontId="4" fillId="0" borderId="7" xfId="2" applyNumberFormat="1" applyFont="1" applyFill="1" applyBorder="1" applyAlignment="1">
      <alignment horizontal="center" wrapText="1"/>
    </xf>
    <xf numFmtId="164" fontId="4" fillId="0" borderId="7" xfId="1" applyNumberFormat="1" applyFont="1" applyFill="1" applyBorder="1" applyAlignment="1">
      <alignment horizontal="center"/>
    </xf>
    <xf numFmtId="164" fontId="4" fillId="0" borderId="6" xfId="2" applyNumberFormat="1" applyFont="1" applyFill="1" applyBorder="1" applyAlignment="1">
      <alignment horizontal="center"/>
    </xf>
    <xf numFmtId="2" fontId="4" fillId="0" borderId="6" xfId="1" applyNumberFormat="1" applyFont="1" applyFill="1" applyBorder="1" applyAlignment="1">
      <alignment horizontal="center"/>
    </xf>
    <xf numFmtId="43" fontId="3" fillId="0" borderId="0" xfId="1" applyFont="1"/>
    <xf numFmtId="49" fontId="1" fillId="0" borderId="0" xfId="0" applyNumberFormat="1" applyFont="1"/>
    <xf numFmtId="43" fontId="1" fillId="0" borderId="0" xfId="1" applyFont="1"/>
    <xf numFmtId="164" fontId="5" fillId="0" borderId="5" xfId="1" applyNumberFormat="1" applyFont="1" applyBorder="1" applyAlignment="1">
      <alignment horizontal="right"/>
    </xf>
    <xf numFmtId="2" fontId="4" fillId="0" borderId="7" xfId="1" applyNumberFormat="1" applyFont="1" applyFill="1" applyBorder="1" applyAlignment="1">
      <alignment horizontal="center"/>
    </xf>
    <xf numFmtId="2" fontId="5" fillId="0" borderId="5" xfId="1" applyNumberFormat="1" applyFont="1" applyFill="1" applyBorder="1"/>
    <xf numFmtId="164" fontId="5" fillId="0" borderId="20" xfId="1" applyNumberFormat="1" applyFont="1" applyFill="1" applyBorder="1"/>
    <xf numFmtId="164" fontId="1" fillId="2" borderId="6" xfId="1" applyNumberFormat="1" applyFont="1" applyFill="1" applyBorder="1"/>
    <xf numFmtId="164" fontId="9" fillId="0" borderId="5" xfId="1" applyNumberFormat="1" applyFont="1" applyFill="1" applyBorder="1"/>
    <xf numFmtId="164" fontId="9" fillId="0" borderId="6" xfId="1" applyNumberFormat="1" applyFont="1" applyFill="1" applyBorder="1"/>
    <xf numFmtId="164" fontId="9" fillId="0" borderId="6" xfId="1" applyNumberFormat="1" applyFont="1" applyBorder="1"/>
    <xf numFmtId="164" fontId="9" fillId="0" borderId="30" xfId="1" applyNumberFormat="1" applyFont="1" applyFill="1" applyBorder="1"/>
    <xf numFmtId="164" fontId="9" fillId="0" borderId="4" xfId="1" applyNumberFormat="1" applyFont="1" applyFill="1" applyBorder="1"/>
    <xf numFmtId="164" fontId="9" fillId="0" borderId="31" xfId="1" applyNumberFormat="1" applyFont="1" applyFill="1" applyBorder="1"/>
    <xf numFmtId="164" fontId="9" fillId="0" borderId="31" xfId="1" applyNumberFormat="1" applyFont="1" applyBorder="1"/>
    <xf numFmtId="164" fontId="3" fillId="2" borderId="31" xfId="1" applyNumberFormat="1" applyFont="1" applyFill="1" applyBorder="1"/>
    <xf numFmtId="164" fontId="3" fillId="0" borderId="5" xfId="1" applyNumberFormat="1" applyFont="1" applyFill="1" applyBorder="1"/>
    <xf numFmtId="0" fontId="3" fillId="2" borderId="6" xfId="0" applyFont="1" applyFill="1" applyBorder="1" applyAlignment="1">
      <alignment horizontal="center"/>
    </xf>
    <xf numFmtId="10" fontId="5" fillId="0" borderId="5" xfId="3" applyNumberFormat="1" applyFont="1" applyFill="1" applyBorder="1" applyAlignment="1">
      <alignment horizontal="center"/>
    </xf>
    <xf numFmtId="4" fontId="0" fillId="0" borderId="0" xfId="0" applyNumberFormat="1"/>
    <xf numFmtId="43" fontId="0" fillId="0" borderId="0" xfId="1" applyFont="1" applyBorder="1"/>
    <xf numFmtId="43" fontId="0" fillId="0" borderId="0" xfId="0" applyNumberFormat="1"/>
    <xf numFmtId="0" fontId="0" fillId="0" borderId="0" xfId="0" applyAlignment="1">
      <alignment horizontal="center"/>
    </xf>
    <xf numFmtId="43" fontId="0" fillId="0" borderId="0" xfId="1" applyFont="1" applyAlignment="1">
      <alignment horizontal="center"/>
    </xf>
    <xf numFmtId="164" fontId="13" fillId="0" borderId="0" xfId="1" applyNumberFormat="1" applyFont="1"/>
    <xf numFmtId="164" fontId="17" fillId="0" borderId="0" xfId="0" applyNumberFormat="1" applyFont="1"/>
    <xf numFmtId="164" fontId="16" fillId="0" borderId="0" xfId="0" applyNumberFormat="1" applyFont="1"/>
    <xf numFmtId="164" fontId="1" fillId="0" borderId="5" xfId="1" applyNumberFormat="1" applyFont="1" applyFill="1" applyBorder="1"/>
    <xf numFmtId="3" fontId="5" fillId="0" borderId="5" xfId="1" applyNumberFormat="1" applyFont="1" applyFill="1" applyBorder="1" applyAlignment="1">
      <alignment horizontal="right"/>
    </xf>
    <xf numFmtId="49" fontId="4" fillId="0" borderId="5" xfId="0" applyNumberFormat="1" applyFont="1" applyFill="1" applyBorder="1" applyAlignment="1">
      <alignment horizontal="center"/>
    </xf>
    <xf numFmtId="164" fontId="4" fillId="0" borderId="6" xfId="1" applyNumberFormat="1" applyFont="1" applyFill="1" applyBorder="1" applyAlignment="1">
      <alignment horizontal="center"/>
    </xf>
    <xf numFmtId="164" fontId="4" fillId="0" borderId="7" xfId="2" applyNumberFormat="1" applyFont="1" applyFill="1" applyBorder="1" applyAlignment="1">
      <alignment horizontal="center"/>
    </xf>
    <xf numFmtId="164" fontId="5" fillId="0" borderId="5" xfId="2" applyNumberFormat="1" applyFont="1" applyFill="1" applyBorder="1"/>
    <xf numFmtId="164" fontId="5" fillId="0" borderId="5" xfId="2" applyNumberFormat="1" applyFont="1" applyFill="1" applyBorder="1" applyAlignment="1">
      <alignment horizontal="right"/>
    </xf>
    <xf numFmtId="10" fontId="5" fillId="0" borderId="5" xfId="2" applyNumberFormat="1" applyFont="1" applyFill="1" applyBorder="1"/>
    <xf numFmtId="49" fontId="4" fillId="0" borderId="7" xfId="0" applyNumberFormat="1" applyFont="1" applyFill="1" applyBorder="1" applyAlignment="1">
      <alignment horizontal="center" wrapText="1"/>
    </xf>
    <xf numFmtId="164" fontId="5" fillId="0" borderId="5" xfId="2" applyNumberFormat="1" applyFont="1" applyFill="1" applyBorder="1"/>
    <xf numFmtId="164" fontId="2" fillId="4" borderId="0" xfId="1" applyNumberFormat="1" applyFont="1" applyFill="1"/>
    <xf numFmtId="43" fontId="4" fillId="4" borderId="0" xfId="1" applyNumberFormat="1" applyFont="1" applyFill="1" applyBorder="1" applyAlignment="1">
      <alignment horizontal="right"/>
    </xf>
    <xf numFmtId="0" fontId="0" fillId="4" borderId="0" xfId="0" applyFill="1" applyBorder="1"/>
    <xf numFmtId="43" fontId="0" fillId="4" borderId="0" xfId="0" applyNumberFormat="1" applyFill="1" applyBorder="1"/>
    <xf numFmtId="49" fontId="4" fillId="0" borderId="5" xfId="0" applyNumberFormat="1" applyFont="1" applyFill="1" applyBorder="1" applyAlignment="1">
      <alignment horizontal="center"/>
    </xf>
    <xf numFmtId="164" fontId="5" fillId="0" borderId="6" xfId="2" applyNumberFormat="1" applyFont="1" applyBorder="1"/>
    <xf numFmtId="164" fontId="4" fillId="4" borderId="5" xfId="2" applyNumberFormat="1" applyFont="1" applyFill="1" applyBorder="1"/>
    <xf numFmtId="49" fontId="4" fillId="4" borderId="5" xfId="0" applyNumberFormat="1" applyFont="1" applyFill="1" applyBorder="1" applyAlignment="1">
      <alignment horizontal="center" vertical="center" wrapText="1"/>
    </xf>
    <xf numFmtId="2" fontId="4" fillId="4" borderId="6" xfId="1" applyNumberFormat="1" applyFont="1" applyFill="1" applyBorder="1" applyAlignment="1">
      <alignment horizontal="center"/>
    </xf>
    <xf numFmtId="164" fontId="5" fillId="4" borderId="5" xfId="1" applyNumberFormat="1" applyFont="1" applyFill="1" applyBorder="1"/>
    <xf numFmtId="164" fontId="4" fillId="4" borderId="5" xfId="1" applyNumberFormat="1" applyFont="1" applyFill="1" applyBorder="1"/>
    <xf numFmtId="164" fontId="5" fillId="4" borderId="6" xfId="1" applyNumberFormat="1" applyFont="1" applyFill="1" applyBorder="1"/>
    <xf numFmtId="49" fontId="4" fillId="4" borderId="7" xfId="0" applyNumberFormat="1" applyFont="1" applyFill="1" applyBorder="1" applyAlignment="1">
      <alignment horizontal="center" wrapText="1"/>
    </xf>
    <xf numFmtId="49" fontId="4" fillId="4" borderId="7" xfId="6" applyNumberFormat="1" applyFont="1" applyFill="1" applyBorder="1" applyAlignment="1">
      <alignment horizontal="right"/>
    </xf>
    <xf numFmtId="49" fontId="4" fillId="4" borderId="6" xfId="0" applyNumberFormat="1" applyFont="1" applyFill="1" applyBorder="1" applyAlignment="1">
      <alignment horizontal="center" wrapText="1"/>
    </xf>
    <xf numFmtId="0" fontId="0" fillId="4" borderId="0" xfId="0" applyFill="1"/>
    <xf numFmtId="164" fontId="4" fillId="4" borderId="5" xfId="1" applyNumberFormat="1" applyFont="1" applyFill="1" applyBorder="1" applyAlignment="1"/>
    <xf numFmtId="164" fontId="4" fillId="4" borderId="15" xfId="1" applyNumberFormat="1" applyFont="1" applyFill="1" applyBorder="1" applyAlignment="1"/>
    <xf numFmtId="164" fontId="5" fillId="4" borderId="5" xfId="1" applyNumberFormat="1" applyFont="1" applyFill="1" applyBorder="1" applyAlignment="1"/>
    <xf numFmtId="164" fontId="5" fillId="4" borderId="15" xfId="1" applyNumberFormat="1" applyFont="1" applyFill="1" applyBorder="1" applyAlignment="1"/>
    <xf numFmtId="164" fontId="5" fillId="4" borderId="4" xfId="1" applyNumberFormat="1" applyFont="1" applyFill="1" applyBorder="1"/>
    <xf numFmtId="164" fontId="5" fillId="4" borderId="19" xfId="1" applyNumberFormat="1" applyFont="1" applyFill="1" applyBorder="1"/>
    <xf numFmtId="164" fontId="4" fillId="4" borderId="4" xfId="1" applyNumberFormat="1" applyFont="1" applyFill="1" applyBorder="1"/>
    <xf numFmtId="164" fontId="4" fillId="4" borderId="6" xfId="1" applyNumberFormat="1" applyFont="1" applyFill="1" applyBorder="1"/>
    <xf numFmtId="164" fontId="5" fillId="4" borderId="15" xfId="1" applyNumberFormat="1" applyFont="1" applyFill="1" applyBorder="1"/>
    <xf numFmtId="164" fontId="22" fillId="4" borderId="15" xfId="1" applyNumberFormat="1" applyFont="1" applyFill="1" applyBorder="1" applyAlignment="1"/>
    <xf numFmtId="49" fontId="5" fillId="4" borderId="0" xfId="0" applyNumberFormat="1" applyFont="1" applyFill="1"/>
    <xf numFmtId="164" fontId="4" fillId="4" borderId="6" xfId="2" applyNumberFormat="1" applyFont="1" applyFill="1" applyBorder="1" applyAlignment="1">
      <alignment horizontal="center"/>
    </xf>
    <xf numFmtId="164" fontId="5" fillId="4" borderId="1" xfId="1" applyNumberFormat="1" applyFont="1" applyFill="1" applyBorder="1"/>
    <xf numFmtId="164" fontId="4" fillId="4" borderId="4" xfId="1" applyNumberFormat="1" applyFont="1" applyFill="1" applyBorder="1" applyAlignment="1">
      <alignment horizontal="center" wrapText="1"/>
    </xf>
    <xf numFmtId="164" fontId="4" fillId="4" borderId="7" xfId="1" applyNumberFormat="1" applyFont="1" applyFill="1" applyBorder="1" applyAlignment="1">
      <alignment horizontal="center"/>
    </xf>
    <xf numFmtId="164" fontId="4" fillId="4" borderId="7" xfId="1" applyNumberFormat="1" applyFont="1" applyFill="1" applyBorder="1" applyAlignment="1">
      <alignment horizontal="center" wrapText="1"/>
    </xf>
    <xf numFmtId="2" fontId="4" fillId="4" borderId="7" xfId="1" applyNumberFormat="1" applyFont="1" applyFill="1" applyBorder="1" applyAlignment="1">
      <alignment horizontal="center"/>
    </xf>
    <xf numFmtId="4" fontId="2" fillId="4" borderId="0" xfId="1" applyNumberFormat="1" applyFont="1" applyFill="1"/>
    <xf numFmtId="2" fontId="2" fillId="4" borderId="0" xfId="1" applyNumberFormat="1" applyFont="1" applyFill="1"/>
    <xf numFmtId="164" fontId="5" fillId="4" borderId="5" xfId="2" applyNumberFormat="1" applyFont="1" applyFill="1" applyBorder="1"/>
    <xf numFmtId="164" fontId="5" fillId="0" borderId="6" xfId="2" applyNumberFormat="1" applyFont="1" applyFill="1" applyBorder="1"/>
    <xf numFmtId="49" fontId="4" fillId="0" borderId="5" xfId="0" applyNumberFormat="1" applyFont="1" applyFill="1" applyBorder="1" applyAlignment="1">
      <alignment horizontal="center"/>
    </xf>
    <xf numFmtId="9" fontId="5" fillId="0" borderId="5" xfId="3" applyFont="1" applyFill="1" applyBorder="1" applyAlignment="1">
      <alignment horizontal="right"/>
    </xf>
    <xf numFmtId="10" fontId="12" fillId="0" borderId="0" xfId="0" applyNumberFormat="1" applyFont="1" applyFill="1"/>
    <xf numFmtId="166" fontId="0" fillId="0" borderId="0" xfId="0" applyNumberFormat="1" applyFill="1"/>
    <xf numFmtId="164" fontId="21" fillId="0" borderId="5" xfId="1" applyNumberFormat="1" applyFont="1" applyFill="1" applyBorder="1"/>
    <xf numFmtId="164" fontId="5" fillId="0" borderId="5" xfId="4" applyNumberFormat="1" applyFont="1" applyFill="1" applyBorder="1"/>
    <xf numFmtId="164" fontId="5" fillId="0" borderId="15" xfId="1" applyNumberFormat="1" applyFont="1" applyFill="1" applyBorder="1" applyAlignment="1"/>
    <xf numFmtId="164" fontId="5" fillId="0" borderId="5" xfId="1" applyNumberFormat="1" applyFont="1" applyFill="1" applyBorder="1" applyAlignment="1"/>
    <xf numFmtId="164" fontId="0" fillId="0" borderId="0" xfId="0" applyNumberFormat="1" applyFill="1"/>
    <xf numFmtId="0" fontId="3" fillId="0" borderId="6" xfId="0" applyFont="1" applyFill="1" applyBorder="1"/>
    <xf numFmtId="164" fontId="1" fillId="0" borderId="6" xfId="1" applyNumberFormat="1" applyFont="1" applyFill="1" applyBorder="1"/>
    <xf numFmtId="164" fontId="3" fillId="0" borderId="6" xfId="1" applyNumberFormat="1" applyFont="1" applyFill="1" applyBorder="1"/>
    <xf numFmtId="164" fontId="0" fillId="0" borderId="5" xfId="1" applyNumberFormat="1" applyFont="1" applyFill="1" applyBorder="1"/>
    <xf numFmtId="164" fontId="3" fillId="0" borderId="31" xfId="1" applyNumberFormat="1" applyFont="1" applyFill="1" applyBorder="1"/>
    <xf numFmtId="43" fontId="1" fillId="0" borderId="6" xfId="1" applyNumberFormat="1" applyFont="1" applyFill="1" applyBorder="1"/>
    <xf numFmtId="167" fontId="0" fillId="0" borderId="0" xfId="1" applyNumberFormat="1" applyFont="1"/>
    <xf numFmtId="10" fontId="5" fillId="0" borderId="5" xfId="1" applyNumberFormat="1" applyFont="1" applyFill="1" applyBorder="1"/>
    <xf numFmtId="3" fontId="5" fillId="0" borderId="5" xfId="2" applyNumberFormat="1" applyFont="1" applyFill="1" applyBorder="1" applyAlignment="1">
      <alignment horizontal="right"/>
    </xf>
    <xf numFmtId="10" fontId="5" fillId="0" borderId="5" xfId="5" applyNumberFormat="1" applyFont="1" applyFill="1" applyBorder="1" applyAlignment="1">
      <alignment horizontal="right"/>
    </xf>
    <xf numFmtId="49" fontId="5" fillId="0" borderId="0" xfId="0" applyNumberFormat="1" applyFont="1" applyFill="1" applyAlignment="1">
      <alignment horizontal="left"/>
    </xf>
    <xf numFmtId="10" fontId="5" fillId="0" borderId="5" xfId="5" applyNumberFormat="1" applyFont="1" applyFill="1" applyBorder="1" applyAlignment="1">
      <alignment horizontal="right" wrapText="1"/>
    </xf>
    <xf numFmtId="10" fontId="5" fillId="0" borderId="5" xfId="5" applyNumberFormat="1" applyFont="1" applyFill="1" applyBorder="1" applyAlignment="1">
      <alignment horizontal="center"/>
    </xf>
    <xf numFmtId="43" fontId="13" fillId="0" borderId="0" xfId="1" applyFont="1"/>
    <xf numFmtId="1" fontId="5" fillId="0" borderId="5" xfId="0" applyNumberFormat="1" applyFont="1" applyBorder="1"/>
    <xf numFmtId="164" fontId="4" fillId="4" borderId="5" xfId="1" applyNumberFormat="1" applyFont="1" applyFill="1" applyBorder="1" applyAlignment="1">
      <alignment horizontal="center" vertical="center"/>
    </xf>
    <xf numFmtId="4" fontId="0" fillId="0" borderId="0" xfId="0" applyNumberFormat="1" applyBorder="1"/>
    <xf numFmtId="164" fontId="4" fillId="0" borderId="5" xfId="1" applyNumberFormat="1" applyFont="1" applyBorder="1" applyAlignment="1">
      <alignment horizontal="center"/>
    </xf>
    <xf numFmtId="164" fontId="4" fillId="0" borderId="5" xfId="1" applyNumberFormat="1" applyFont="1" applyFill="1" applyBorder="1" applyAlignment="1">
      <alignment horizontal="center"/>
    </xf>
    <xf numFmtId="49" fontId="4" fillId="2" borderId="22" xfId="0" applyNumberFormat="1" applyFont="1" applyFill="1" applyBorder="1" applyAlignment="1">
      <alignment horizontal="center"/>
    </xf>
    <xf numFmtId="49" fontId="4" fillId="2" borderId="3" xfId="0" applyNumberFormat="1" applyFont="1" applyFill="1" applyBorder="1" applyAlignment="1">
      <alignment horizontal="center"/>
    </xf>
    <xf numFmtId="49" fontId="4" fillId="2" borderId="19" xfId="0" applyNumberFormat="1" applyFont="1" applyFill="1" applyBorder="1" applyAlignment="1">
      <alignment horizontal="center"/>
    </xf>
    <xf numFmtId="49" fontId="4" fillId="2" borderId="16" xfId="0" applyNumberFormat="1" applyFont="1" applyFill="1" applyBorder="1" applyAlignment="1">
      <alignment horizontal="center"/>
    </xf>
    <xf numFmtId="49" fontId="4" fillId="2" borderId="0" xfId="0" applyNumberFormat="1" applyFont="1" applyFill="1" applyBorder="1" applyAlignment="1">
      <alignment horizontal="center"/>
    </xf>
    <xf numFmtId="49" fontId="4" fillId="2" borderId="21" xfId="0" applyNumberFormat="1" applyFont="1" applyFill="1" applyBorder="1" applyAlignment="1">
      <alignment horizontal="center"/>
    </xf>
    <xf numFmtId="49" fontId="4" fillId="2" borderId="17" xfId="0" applyNumberFormat="1" applyFont="1" applyFill="1" applyBorder="1" applyAlignment="1">
      <alignment horizontal="center"/>
    </xf>
    <xf numFmtId="49" fontId="4" fillId="2" borderId="1" xfId="0" applyNumberFormat="1" applyFont="1" applyFill="1" applyBorder="1" applyAlignment="1">
      <alignment horizontal="center"/>
    </xf>
    <xf numFmtId="49" fontId="4" fillId="2" borderId="20" xfId="0" applyNumberFormat="1" applyFont="1" applyFill="1" applyBorder="1" applyAlignment="1">
      <alignment horizontal="center"/>
    </xf>
    <xf numFmtId="0" fontId="4" fillId="2" borderId="16" xfId="0" applyNumberFormat="1" applyFont="1" applyFill="1" applyBorder="1" applyAlignment="1">
      <alignment horizontal="center"/>
    </xf>
    <xf numFmtId="0" fontId="4" fillId="2" borderId="0" xfId="0" applyNumberFormat="1" applyFont="1" applyFill="1" applyBorder="1" applyAlignment="1">
      <alignment horizontal="center"/>
    </xf>
    <xf numFmtId="0" fontId="4" fillId="2" borderId="21" xfId="0" applyNumberFormat="1" applyFont="1" applyFill="1" applyBorder="1" applyAlignment="1">
      <alignment horizontal="center"/>
    </xf>
    <xf numFmtId="164" fontId="5" fillId="0" borderId="4" xfId="1" applyNumberFormat="1" applyFont="1" applyFill="1" applyBorder="1" applyAlignment="1">
      <alignment horizontal="center" vertical="center"/>
    </xf>
    <xf numFmtId="164" fontId="5" fillId="0" borderId="6" xfId="1" applyNumberFormat="1" applyFont="1" applyFill="1" applyBorder="1" applyAlignment="1">
      <alignment horizontal="center" vertical="center"/>
    </xf>
    <xf numFmtId="164" fontId="5" fillId="0" borderId="7" xfId="1" applyNumberFormat="1" applyFont="1" applyFill="1" applyBorder="1" applyAlignment="1">
      <alignment horizontal="center" vertical="center"/>
    </xf>
    <xf numFmtId="164" fontId="4" fillId="0" borderId="2" xfId="1" applyNumberFormat="1" applyFont="1" applyBorder="1" applyAlignment="1">
      <alignment horizontal="center"/>
    </xf>
    <xf numFmtId="164" fontId="4" fillId="0" borderId="15" xfId="1" applyNumberFormat="1" applyFont="1" applyBorder="1" applyAlignment="1">
      <alignment horizontal="center"/>
    </xf>
    <xf numFmtId="164" fontId="4" fillId="0" borderId="18" xfId="1" applyNumberFormat="1" applyFont="1" applyFill="1" applyBorder="1" applyAlignment="1">
      <alignment horizontal="center"/>
    </xf>
    <xf numFmtId="164" fontId="4" fillId="0" borderId="15" xfId="1" applyNumberFormat="1" applyFont="1" applyFill="1" applyBorder="1" applyAlignment="1">
      <alignment horizontal="center"/>
    </xf>
    <xf numFmtId="2" fontId="4" fillId="0" borderId="18" xfId="1" applyNumberFormat="1" applyFont="1" applyBorder="1" applyAlignment="1">
      <alignment horizontal="center"/>
    </xf>
    <xf numFmtId="2" fontId="4" fillId="0" borderId="15" xfId="1" applyNumberFormat="1" applyFont="1" applyBorder="1" applyAlignment="1">
      <alignment horizontal="center"/>
    </xf>
    <xf numFmtId="2" fontId="4" fillId="0" borderId="18" xfId="1" applyNumberFormat="1" applyFont="1" applyFill="1" applyBorder="1" applyAlignment="1">
      <alignment horizontal="center"/>
    </xf>
    <xf numFmtId="2" fontId="4" fillId="0" borderId="15" xfId="1" applyNumberFormat="1" applyFont="1" applyFill="1" applyBorder="1" applyAlignment="1">
      <alignment horizontal="center"/>
    </xf>
    <xf numFmtId="164" fontId="5" fillId="0" borderId="4" xfId="2" applyNumberFormat="1" applyFont="1" applyFill="1" applyBorder="1" applyAlignment="1">
      <alignment horizontal="center" vertical="center"/>
    </xf>
    <xf numFmtId="164" fontId="5" fillId="0" borderId="6" xfId="2" applyNumberFormat="1" applyFont="1" applyFill="1" applyBorder="1" applyAlignment="1">
      <alignment horizontal="center" vertical="center"/>
    </xf>
    <xf numFmtId="49" fontId="4" fillId="6" borderId="18" xfId="0" applyNumberFormat="1" applyFont="1" applyFill="1" applyBorder="1" applyAlignment="1">
      <alignment horizontal="center"/>
    </xf>
    <xf numFmtId="49" fontId="4" fillId="6" borderId="2" xfId="0" applyNumberFormat="1" applyFont="1" applyFill="1" applyBorder="1" applyAlignment="1">
      <alignment horizontal="center"/>
    </xf>
    <xf numFmtId="49" fontId="4" fillId="6" borderId="15" xfId="0" applyNumberFormat="1" applyFont="1" applyFill="1" applyBorder="1" applyAlignment="1">
      <alignment horizontal="center"/>
    </xf>
    <xf numFmtId="49" fontId="4" fillId="3" borderId="18" xfId="0" applyNumberFormat="1" applyFont="1" applyFill="1" applyBorder="1" applyAlignment="1">
      <alignment horizontal="center"/>
    </xf>
    <xf numFmtId="49" fontId="4" fillId="3" borderId="2" xfId="0" applyNumberFormat="1" applyFont="1" applyFill="1" applyBorder="1" applyAlignment="1">
      <alignment horizontal="center"/>
    </xf>
    <xf numFmtId="49" fontId="4" fillId="3" borderId="15" xfId="0" applyNumberFormat="1" applyFont="1" applyFill="1" applyBorder="1" applyAlignment="1">
      <alignment horizontal="center"/>
    </xf>
    <xf numFmtId="49" fontId="4" fillId="5" borderId="4" xfId="0" applyNumberFormat="1" applyFont="1" applyFill="1" applyBorder="1" applyAlignment="1">
      <alignment horizontal="center" vertical="center"/>
    </xf>
    <xf numFmtId="49" fontId="4" fillId="5" borderId="6" xfId="0" applyNumberFormat="1" applyFont="1" applyFill="1" applyBorder="1" applyAlignment="1">
      <alignment horizontal="center" vertical="center"/>
    </xf>
    <xf numFmtId="49" fontId="4" fillId="2" borderId="7" xfId="0" applyNumberFormat="1" applyFont="1" applyFill="1" applyBorder="1" applyAlignment="1">
      <alignment horizontal="center" vertical="center" wrapText="1"/>
    </xf>
    <xf numFmtId="49" fontId="4" fillId="2" borderId="6" xfId="0" applyNumberFormat="1" applyFont="1" applyFill="1" applyBorder="1" applyAlignment="1">
      <alignment horizontal="center" vertical="center" wrapText="1"/>
    </xf>
    <xf numFmtId="164" fontId="5" fillId="4" borderId="4" xfId="2" applyNumberFormat="1" applyFont="1" applyFill="1" applyBorder="1" applyAlignment="1">
      <alignment horizontal="center" vertical="center"/>
    </xf>
    <xf numFmtId="164" fontId="5" fillId="4" borderId="6" xfId="2" applyNumberFormat="1" applyFont="1" applyFill="1" applyBorder="1" applyAlignment="1">
      <alignment horizontal="center" vertical="center"/>
    </xf>
    <xf numFmtId="164" fontId="4" fillId="4" borderId="4" xfId="2" applyNumberFormat="1" applyFont="1" applyFill="1" applyBorder="1" applyAlignment="1">
      <alignment horizontal="center" vertical="center"/>
    </xf>
    <xf numFmtId="164" fontId="4" fillId="4" borderId="6" xfId="2" applyNumberFormat="1" applyFont="1" applyFill="1" applyBorder="1" applyAlignment="1">
      <alignment horizontal="center" vertical="center"/>
    </xf>
    <xf numFmtId="164" fontId="4" fillId="4" borderId="4" xfId="1" applyNumberFormat="1" applyFont="1" applyFill="1" applyBorder="1" applyAlignment="1">
      <alignment horizontal="center" vertical="center"/>
    </xf>
    <xf numFmtId="164" fontId="4" fillId="4" borderId="6" xfId="1" applyNumberFormat="1" applyFont="1" applyFill="1" applyBorder="1" applyAlignment="1">
      <alignment horizontal="center" vertical="center"/>
    </xf>
    <xf numFmtId="164" fontId="5" fillId="4" borderId="4" xfId="1" applyNumberFormat="1" applyFont="1" applyFill="1" applyBorder="1" applyAlignment="1">
      <alignment horizontal="center" vertical="center"/>
    </xf>
    <xf numFmtId="164" fontId="5" fillId="4" borderId="6" xfId="1" applyNumberFormat="1" applyFont="1" applyFill="1" applyBorder="1" applyAlignment="1">
      <alignment horizontal="center" vertical="center"/>
    </xf>
    <xf numFmtId="49" fontId="4" fillId="0" borderId="17" xfId="0" applyNumberFormat="1" applyFont="1" applyFill="1" applyBorder="1" applyAlignment="1">
      <alignment horizontal="center"/>
    </xf>
    <xf numFmtId="49" fontId="4" fillId="0" borderId="1" xfId="0" applyNumberFormat="1" applyFont="1" applyFill="1" applyBorder="1" applyAlignment="1">
      <alignment horizontal="center"/>
    </xf>
    <xf numFmtId="49" fontId="4" fillId="0" borderId="5" xfId="0" applyNumberFormat="1" applyFont="1" applyFill="1" applyBorder="1" applyAlignment="1">
      <alignment horizontal="center"/>
    </xf>
    <xf numFmtId="49" fontId="4" fillId="0" borderId="22" xfId="0" applyNumberFormat="1" applyFont="1" applyFill="1" applyBorder="1" applyAlignment="1">
      <alignment horizontal="center"/>
    </xf>
    <xf numFmtId="49" fontId="4" fillId="0" borderId="3"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0" xfId="0" applyNumberFormat="1" applyFont="1" applyFill="1" applyBorder="1" applyAlignment="1">
      <alignment horizontal="center"/>
    </xf>
    <xf numFmtId="0" fontId="7" fillId="0" borderId="0" xfId="0" applyFont="1" applyAlignment="1">
      <alignment horizontal="left" wrapText="1"/>
    </xf>
    <xf numFmtId="0" fontId="7" fillId="0" borderId="0" xfId="0" applyFont="1" applyAlignment="1">
      <alignment horizontal="left" vertical="top" wrapText="1"/>
    </xf>
    <xf numFmtId="0" fontId="7" fillId="0" borderId="0" xfId="0" applyFont="1" applyAlignment="1">
      <alignment horizontal="left" vertical="top"/>
    </xf>
    <xf numFmtId="49" fontId="4" fillId="0" borderId="0" xfId="0" applyNumberFormat="1" applyFont="1" applyAlignment="1">
      <alignment horizontal="left"/>
    </xf>
    <xf numFmtId="0" fontId="7" fillId="0" borderId="0" xfId="0" applyFont="1" applyAlignment="1">
      <alignment horizontal="left"/>
    </xf>
    <xf numFmtId="49" fontId="4" fillId="2" borderId="0" xfId="0" applyNumberFormat="1" applyFont="1" applyFill="1" applyAlignment="1">
      <alignment horizontal="center"/>
    </xf>
    <xf numFmtId="49" fontId="4" fillId="0" borderId="5" xfId="0" applyNumberFormat="1" applyFont="1" applyBorder="1" applyAlignment="1">
      <alignment horizontal="center"/>
    </xf>
    <xf numFmtId="49" fontId="4" fillId="0" borderId="4" xfId="0" applyNumberFormat="1" applyFont="1" applyBorder="1" applyAlignment="1">
      <alignment horizontal="center" vertical="center"/>
    </xf>
    <xf numFmtId="49" fontId="4" fillId="0" borderId="7" xfId="0" applyNumberFormat="1" applyFont="1" applyBorder="1" applyAlignment="1">
      <alignment horizontal="center" vertical="center"/>
    </xf>
    <xf numFmtId="49" fontId="4" fillId="0" borderId="6" xfId="0" applyNumberFormat="1" applyFont="1" applyBorder="1" applyAlignment="1">
      <alignment horizontal="center" vertical="center"/>
    </xf>
    <xf numFmtId="49" fontId="5" fillId="0" borderId="4" xfId="0" applyNumberFormat="1" applyFont="1" applyFill="1" applyBorder="1" applyAlignment="1">
      <alignment horizontal="right" vertical="center"/>
    </xf>
    <xf numFmtId="49" fontId="5" fillId="0" borderId="6" xfId="0" applyNumberFormat="1" applyFont="1" applyFill="1" applyBorder="1" applyAlignment="1">
      <alignment horizontal="right" vertical="center"/>
    </xf>
    <xf numFmtId="49" fontId="4" fillId="4" borderId="16" xfId="0" applyNumberFormat="1" applyFont="1" applyFill="1" applyBorder="1" applyAlignment="1">
      <alignment horizontal="center"/>
    </xf>
    <xf numFmtId="49" fontId="4" fillId="4" borderId="0" xfId="0" applyNumberFormat="1" applyFont="1" applyFill="1" applyBorder="1" applyAlignment="1">
      <alignment horizontal="center"/>
    </xf>
    <xf numFmtId="0" fontId="0" fillId="0" borderId="14" xfId="0" applyBorder="1" applyAlignment="1">
      <alignment horizontal="left"/>
    </xf>
    <xf numFmtId="0" fontId="0" fillId="0" borderId="5" xfId="0" applyBorder="1" applyAlignment="1">
      <alignment horizontal="left"/>
    </xf>
    <xf numFmtId="0" fontId="13" fillId="2" borderId="27" xfId="0" applyFont="1" applyFill="1" applyBorder="1" applyAlignment="1">
      <alignment horizontal="left"/>
    </xf>
    <xf numFmtId="0" fontId="13" fillId="2" borderId="15" xfId="0" applyFont="1" applyFill="1" applyBorder="1" applyAlignment="1">
      <alignment horizontal="left"/>
    </xf>
    <xf numFmtId="0" fontId="13" fillId="2" borderId="29" xfId="0" applyFont="1" applyFill="1" applyBorder="1" applyAlignment="1">
      <alignment horizontal="left"/>
    </xf>
    <xf numFmtId="0" fontId="13" fillId="2" borderId="24" xfId="0" applyFont="1" applyFill="1" applyBorder="1" applyAlignment="1">
      <alignment horizontal="left"/>
    </xf>
    <xf numFmtId="49" fontId="4" fillId="2" borderId="16" xfId="0" applyNumberFormat="1" applyFont="1" applyFill="1" applyBorder="1" applyAlignment="1">
      <alignment horizontal="center" wrapText="1"/>
    </xf>
    <xf numFmtId="49" fontId="4" fillId="2" borderId="0" xfId="0" applyNumberFormat="1" applyFont="1" applyFill="1" applyBorder="1" applyAlignment="1">
      <alignment horizontal="center" wrapText="1"/>
    </xf>
    <xf numFmtId="0" fontId="3" fillId="0" borderId="18" xfId="0" applyFont="1" applyBorder="1" applyAlignment="1">
      <alignment horizontal="center" vertical="center"/>
    </xf>
    <xf numFmtId="0" fontId="3" fillId="0" borderId="15" xfId="0" applyFont="1" applyBorder="1" applyAlignment="1">
      <alignment horizontal="center" vertical="center"/>
    </xf>
    <xf numFmtId="0" fontId="3" fillId="0" borderId="27" xfId="0" applyFont="1" applyBorder="1" applyAlignment="1">
      <alignment horizontal="center"/>
    </xf>
    <xf numFmtId="0" fontId="3" fillId="0" borderId="15" xfId="0" applyFont="1" applyBorder="1" applyAlignment="1">
      <alignment horizontal="center"/>
    </xf>
    <xf numFmtId="0" fontId="3" fillId="0" borderId="29" xfId="0" applyFont="1" applyBorder="1" applyAlignment="1">
      <alignment horizontal="center"/>
    </xf>
    <xf numFmtId="0" fontId="3" fillId="0" borderId="24" xfId="0" applyFont="1" applyBorder="1" applyAlignment="1">
      <alignment horizontal="center"/>
    </xf>
    <xf numFmtId="0" fontId="0" fillId="0" borderId="27" xfId="0" applyBorder="1" applyAlignment="1">
      <alignment horizontal="left"/>
    </xf>
    <xf numFmtId="0" fontId="0" fillId="0" borderId="15" xfId="0" applyBorder="1" applyAlignment="1">
      <alignment horizontal="left"/>
    </xf>
    <xf numFmtId="0" fontId="3" fillId="0" borderId="5" xfId="0" applyFont="1" applyBorder="1" applyAlignment="1">
      <alignment horizontal="left"/>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cellXfs>
  <cellStyles count="7">
    <cellStyle name="Comma" xfId="1" builtinId="3"/>
    <cellStyle name="Comma 2" xfId="2"/>
    <cellStyle name="Comma 3" xfId="4"/>
    <cellStyle name="Normal" xfId="0" builtinId="0"/>
    <cellStyle name="Normal 5" xfId="6"/>
    <cellStyle name="Percent" xfId="3" builtinId="5"/>
    <cellStyle name="Percent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9"/>
  <sheetViews>
    <sheetView tabSelected="1" zoomScaleNormal="100" workbookViewId="0">
      <selection activeCell="B16" sqref="B16"/>
    </sheetView>
  </sheetViews>
  <sheetFormatPr defaultRowHeight="15" x14ac:dyDescent="0.25"/>
  <cols>
    <col min="1" max="1" width="2.140625" style="1" customWidth="1"/>
    <col min="2" max="2" width="62.7109375" style="1" customWidth="1"/>
    <col min="3" max="4" width="12.7109375" style="8" customWidth="1"/>
    <col min="5" max="5" width="12.7109375" style="240" bestFit="1" customWidth="1"/>
    <col min="6" max="6" width="12.7109375" style="144" bestFit="1" customWidth="1"/>
    <col min="7" max="7" width="14.28515625" style="1" hidden="1" customWidth="1"/>
    <col min="8" max="8" width="15.28515625" style="1" hidden="1" customWidth="1"/>
    <col min="9" max="9" width="0" style="1" hidden="1" customWidth="1"/>
    <col min="10" max="10" width="10" style="1" bestFit="1" customWidth="1"/>
    <col min="11" max="16384" width="9.140625" style="1"/>
  </cols>
  <sheetData>
    <row r="1" spans="2:6" ht="15.75" x14ac:dyDescent="0.25">
      <c r="B1" s="305" t="s">
        <v>21</v>
      </c>
      <c r="C1" s="306"/>
      <c r="D1" s="306"/>
      <c r="E1" s="306"/>
      <c r="F1" s="307"/>
    </row>
    <row r="2" spans="2:6" ht="15.75" x14ac:dyDescent="0.25">
      <c r="B2" s="308" t="s">
        <v>0</v>
      </c>
      <c r="C2" s="309"/>
      <c r="D2" s="309"/>
      <c r="E2" s="309"/>
      <c r="F2" s="310"/>
    </row>
    <row r="3" spans="2:6" ht="15.75" x14ac:dyDescent="0.25">
      <c r="B3" s="314" t="s">
        <v>349</v>
      </c>
      <c r="C3" s="315"/>
      <c r="D3" s="315"/>
      <c r="E3" s="315"/>
      <c r="F3" s="316"/>
    </row>
    <row r="4" spans="2:6" ht="15.75" x14ac:dyDescent="0.25">
      <c r="B4" s="311"/>
      <c r="C4" s="312"/>
      <c r="D4" s="312"/>
      <c r="E4" s="312"/>
      <c r="F4" s="313"/>
    </row>
    <row r="5" spans="2:6" ht="15.75" x14ac:dyDescent="0.25">
      <c r="B5" s="42"/>
      <c r="C5" s="303" t="s">
        <v>16</v>
      </c>
      <c r="D5" s="303"/>
      <c r="E5" s="304" t="s">
        <v>25</v>
      </c>
      <c r="F5" s="304"/>
    </row>
    <row r="6" spans="2:6" ht="15.75" x14ac:dyDescent="0.25">
      <c r="B6" s="43" t="s">
        <v>182</v>
      </c>
      <c r="C6" s="83" t="s">
        <v>309</v>
      </c>
      <c r="D6" s="198" t="s">
        <v>311</v>
      </c>
      <c r="E6" s="269" t="s">
        <v>312</v>
      </c>
      <c r="F6" s="198" t="s">
        <v>311</v>
      </c>
    </row>
    <row r="7" spans="2:6" ht="15.75" x14ac:dyDescent="0.25">
      <c r="B7" s="43"/>
      <c r="C7" s="189" t="s">
        <v>310</v>
      </c>
      <c r="D7" s="199" t="s">
        <v>310</v>
      </c>
      <c r="E7" s="271" t="s">
        <v>310</v>
      </c>
      <c r="F7" s="199" t="s">
        <v>310</v>
      </c>
    </row>
    <row r="8" spans="2:6" ht="15.75" x14ac:dyDescent="0.25">
      <c r="B8" s="43"/>
      <c r="C8" s="84" t="s">
        <v>18</v>
      </c>
      <c r="D8" s="234" t="s">
        <v>18</v>
      </c>
      <c r="E8" s="270" t="s">
        <v>18</v>
      </c>
      <c r="F8" s="234" t="s">
        <v>18</v>
      </c>
    </row>
    <row r="9" spans="2:6" ht="15.75" x14ac:dyDescent="0.25">
      <c r="B9" s="41"/>
      <c r="C9" s="84" t="s">
        <v>341</v>
      </c>
      <c r="D9" s="200" t="s">
        <v>335</v>
      </c>
      <c r="E9" s="270" t="s">
        <v>341</v>
      </c>
      <c r="F9" s="200" t="s">
        <v>335</v>
      </c>
    </row>
    <row r="10" spans="2:6" ht="15.75" x14ac:dyDescent="0.25">
      <c r="B10" s="41"/>
      <c r="C10" s="84" t="s">
        <v>19</v>
      </c>
      <c r="D10" s="234" t="s">
        <v>19</v>
      </c>
      <c r="E10" s="270" t="s">
        <v>19</v>
      </c>
      <c r="F10" s="234" t="s">
        <v>19</v>
      </c>
    </row>
    <row r="11" spans="2:6" ht="15.75" x14ac:dyDescent="0.25">
      <c r="B11" s="41"/>
      <c r="C11" s="57" t="s">
        <v>350</v>
      </c>
      <c r="D11" s="57" t="s">
        <v>351</v>
      </c>
      <c r="E11" s="57" t="s">
        <v>350</v>
      </c>
      <c r="F11" s="57" t="s">
        <v>351</v>
      </c>
    </row>
    <row r="12" spans="2:6" ht="15.75" x14ac:dyDescent="0.25">
      <c r="B12" s="41"/>
      <c r="C12" s="85" t="s">
        <v>99</v>
      </c>
      <c r="D12" s="201" t="s">
        <v>99</v>
      </c>
      <c r="E12" s="267" t="s">
        <v>100</v>
      </c>
      <c r="F12" s="201" t="s">
        <v>100</v>
      </c>
    </row>
    <row r="13" spans="2:6" ht="15.75" x14ac:dyDescent="0.25">
      <c r="B13" s="103"/>
      <c r="C13" s="202"/>
      <c r="D13" s="202"/>
      <c r="E13" s="202"/>
      <c r="F13" s="202"/>
    </row>
    <row r="14" spans="2:6" ht="15.75" x14ac:dyDescent="0.25">
      <c r="B14" s="26" t="s">
        <v>1</v>
      </c>
      <c r="C14" s="94">
        <v>1727</v>
      </c>
      <c r="D14" s="97">
        <v>1649</v>
      </c>
      <c r="E14" s="94">
        <f>129080977523.461/1000000</f>
        <v>129080.977523461</v>
      </c>
      <c r="F14" s="235">
        <v>129639</v>
      </c>
    </row>
    <row r="15" spans="2:6" ht="15.75" x14ac:dyDescent="0.25">
      <c r="B15" s="26" t="s">
        <v>2</v>
      </c>
      <c r="C15" s="94">
        <v>455</v>
      </c>
      <c r="D15" s="235">
        <v>674</v>
      </c>
      <c r="E15" s="94">
        <f>84127953129.6646/1000000</f>
        <v>84127.953129664602</v>
      </c>
      <c r="F15" s="235">
        <v>91929</v>
      </c>
    </row>
    <row r="16" spans="2:6" s="9" customFormat="1" ht="15.75" x14ac:dyDescent="0.25">
      <c r="B16" s="25" t="s">
        <v>3</v>
      </c>
      <c r="C16" s="133">
        <f>+C14-C15</f>
        <v>1272</v>
      </c>
      <c r="D16" s="28">
        <v>975</v>
      </c>
      <c r="E16" s="133">
        <f>+E14-E15</f>
        <v>44953.024393796397</v>
      </c>
      <c r="F16" s="133">
        <v>37710</v>
      </c>
    </row>
    <row r="17" spans="2:10" ht="15.75" x14ac:dyDescent="0.25">
      <c r="B17" s="26" t="s">
        <v>4</v>
      </c>
      <c r="C17" s="94">
        <v>89</v>
      </c>
      <c r="D17" s="97">
        <v>74</v>
      </c>
      <c r="E17" s="94">
        <f>6401040483.70039/1000000</f>
        <v>6401.0404837003898</v>
      </c>
      <c r="F17" s="239">
        <v>6280</v>
      </c>
      <c r="J17" s="111"/>
    </row>
    <row r="18" spans="2:10" ht="15.75" x14ac:dyDescent="0.25">
      <c r="B18" s="26" t="s">
        <v>5</v>
      </c>
      <c r="C18" s="94">
        <v>0</v>
      </c>
      <c r="D18" s="235">
        <v>0</v>
      </c>
      <c r="E18" s="94">
        <v>0</v>
      </c>
      <c r="F18" s="235">
        <v>0</v>
      </c>
    </row>
    <row r="19" spans="2:10" s="9" customFormat="1" ht="15.75" x14ac:dyDescent="0.25">
      <c r="B19" s="25" t="s">
        <v>6</v>
      </c>
      <c r="C19" s="133">
        <f>+C17-C18</f>
        <v>89</v>
      </c>
      <c r="D19" s="28">
        <v>74</v>
      </c>
      <c r="E19" s="133">
        <f>+E17-E18</f>
        <v>6401.0404837003898</v>
      </c>
      <c r="F19" s="133">
        <v>6280</v>
      </c>
    </row>
    <row r="20" spans="2:10" ht="15.75" x14ac:dyDescent="0.25">
      <c r="B20" s="26" t="s">
        <v>167</v>
      </c>
      <c r="C20" s="94">
        <v>7</v>
      </c>
      <c r="D20" s="235">
        <v>4</v>
      </c>
      <c r="E20" s="94">
        <f>229909954.987595/1000000</f>
        <v>229.909954987595</v>
      </c>
      <c r="F20" s="239">
        <v>309</v>
      </c>
    </row>
    <row r="21" spans="2:10" ht="15.75" x14ac:dyDescent="0.25">
      <c r="B21" s="26" t="s">
        <v>334</v>
      </c>
      <c r="C21" s="94"/>
      <c r="D21" s="235"/>
      <c r="E21" s="94"/>
      <c r="F21" s="235"/>
    </row>
    <row r="22" spans="2:10" ht="15.75" x14ac:dyDescent="0.25">
      <c r="B22" s="26" t="s">
        <v>168</v>
      </c>
      <c r="C22" s="94">
        <v>0</v>
      </c>
      <c r="D22" s="235">
        <v>0</v>
      </c>
      <c r="E22" s="94">
        <v>0</v>
      </c>
      <c r="F22" s="235">
        <v>0</v>
      </c>
    </row>
    <row r="23" spans="2:10" ht="15.75" x14ac:dyDescent="0.25">
      <c r="B23" s="26" t="s">
        <v>169</v>
      </c>
      <c r="C23" s="94">
        <v>0</v>
      </c>
      <c r="D23" s="235">
        <v>0</v>
      </c>
      <c r="E23" s="94">
        <v>0</v>
      </c>
      <c r="F23" s="235">
        <v>0</v>
      </c>
    </row>
    <row r="24" spans="2:10" ht="15.75" x14ac:dyDescent="0.25">
      <c r="B24" s="26" t="s">
        <v>170</v>
      </c>
      <c r="C24" s="94"/>
      <c r="D24" s="235"/>
      <c r="E24" s="94"/>
      <c r="F24" s="235"/>
    </row>
    <row r="25" spans="2:10" ht="15.75" x14ac:dyDescent="0.25">
      <c r="B25" s="26" t="s">
        <v>171</v>
      </c>
      <c r="C25" s="94"/>
      <c r="D25" s="235">
        <v>0</v>
      </c>
      <c r="E25" s="94">
        <v>0</v>
      </c>
      <c r="F25" s="235">
        <v>0</v>
      </c>
    </row>
    <row r="26" spans="2:10" ht="15.75" x14ac:dyDescent="0.25">
      <c r="B26" s="26" t="s">
        <v>172</v>
      </c>
      <c r="C26" s="94">
        <v>0</v>
      </c>
      <c r="D26" s="239">
        <v>0</v>
      </c>
      <c r="E26" s="94">
        <v>0</v>
      </c>
      <c r="F26" s="235">
        <v>0</v>
      </c>
    </row>
    <row r="27" spans="2:10" ht="15.75" x14ac:dyDescent="0.25">
      <c r="B27" s="26" t="s">
        <v>173</v>
      </c>
      <c r="C27" s="94">
        <v>0</v>
      </c>
      <c r="D27" s="239">
        <v>0</v>
      </c>
      <c r="E27" s="94">
        <v>0</v>
      </c>
      <c r="F27" s="235">
        <v>0</v>
      </c>
    </row>
    <row r="28" spans="2:10" ht="15.75" x14ac:dyDescent="0.25">
      <c r="B28" s="26" t="s">
        <v>174</v>
      </c>
      <c r="C28" s="94">
        <v>0.2</v>
      </c>
      <c r="D28" s="239">
        <v>11</v>
      </c>
      <c r="E28" s="94">
        <f>28795549908.6094/1000000</f>
        <v>28795.549908609402</v>
      </c>
      <c r="F28" s="235">
        <v>16056</v>
      </c>
    </row>
    <row r="29" spans="2:10" s="9" customFormat="1" ht="15.75" x14ac:dyDescent="0.25">
      <c r="B29" s="25" t="s">
        <v>7</v>
      </c>
      <c r="C29" s="133">
        <f>+C16+C19+C20+C22+C23+C25+C26+C27+C28</f>
        <v>1368.2</v>
      </c>
      <c r="D29" s="28">
        <v>1064</v>
      </c>
      <c r="E29" s="133">
        <f>+E16+E19+E20+E22+E23+E25+E26+E27+E28</f>
        <v>80379.524741093788</v>
      </c>
      <c r="F29" s="133">
        <v>60355</v>
      </c>
    </row>
    <row r="30" spans="2:10" ht="15.75" x14ac:dyDescent="0.25">
      <c r="B30" s="26" t="s">
        <v>175</v>
      </c>
      <c r="C30" s="94">
        <v>-100</v>
      </c>
      <c r="D30" s="239">
        <v>109</v>
      </c>
      <c r="E30" s="94">
        <f>36756346374.2353/1000000</f>
        <v>36756.346374235298</v>
      </c>
      <c r="F30" s="235">
        <v>108178</v>
      </c>
    </row>
    <row r="31" spans="2:10" s="9" customFormat="1" ht="15.75" x14ac:dyDescent="0.25">
      <c r="B31" s="25" t="s">
        <v>8</v>
      </c>
      <c r="C31" s="133">
        <f>+C29-C30</f>
        <v>1468.2</v>
      </c>
      <c r="D31" s="28">
        <v>955</v>
      </c>
      <c r="E31" s="133">
        <f>+E29-E30</f>
        <v>43623.17836685849</v>
      </c>
      <c r="F31" s="133">
        <v>-47823</v>
      </c>
    </row>
    <row r="32" spans="2:10" ht="15.75" x14ac:dyDescent="0.25">
      <c r="B32" s="26" t="s">
        <v>9</v>
      </c>
      <c r="C32" s="280">
        <v>41</v>
      </c>
      <c r="D32" s="239">
        <v>36</v>
      </c>
      <c r="E32" s="94">
        <f>+(25145938792.8845+221974289.555137)/1000000</f>
        <v>25367.913082439638</v>
      </c>
      <c r="F32" s="239">
        <v>23663</v>
      </c>
    </row>
    <row r="33" spans="2:9" ht="15.75" x14ac:dyDescent="0.25">
      <c r="B33" s="26" t="s">
        <v>176</v>
      </c>
      <c r="C33" s="94">
        <v>3</v>
      </c>
      <c r="D33" s="239">
        <v>3</v>
      </c>
      <c r="E33" s="94">
        <f>8182277986.93342/1000000</f>
        <v>8182.2779869334199</v>
      </c>
      <c r="F33" s="239">
        <v>8572</v>
      </c>
    </row>
    <row r="34" spans="2:9" ht="15.75" x14ac:dyDescent="0.25">
      <c r="B34" s="26" t="s">
        <v>10</v>
      </c>
      <c r="C34" s="94">
        <v>49</v>
      </c>
      <c r="D34" s="239">
        <v>44</v>
      </c>
      <c r="E34" s="94">
        <f>5112425332.41414/1000000</f>
        <v>5112.42533241414</v>
      </c>
      <c r="F34" s="239">
        <v>4755</v>
      </c>
    </row>
    <row r="35" spans="2:9" s="9" customFormat="1" ht="15.75" x14ac:dyDescent="0.25">
      <c r="B35" s="25" t="s">
        <v>178</v>
      </c>
      <c r="C35" s="133">
        <f>+C31-C32-C33-C34</f>
        <v>1375.2</v>
      </c>
      <c r="D35" s="28">
        <v>872</v>
      </c>
      <c r="E35" s="133">
        <f>+E31-E32-E33-E34</f>
        <v>4960.5619650712933</v>
      </c>
      <c r="F35" s="133">
        <v>-84813</v>
      </c>
      <c r="G35" s="205">
        <v>0</v>
      </c>
      <c r="H35" s="205">
        <v>38837933</v>
      </c>
      <c r="I35" s="204" t="s">
        <v>314</v>
      </c>
    </row>
    <row r="36" spans="2:9" ht="15.75" x14ac:dyDescent="0.25">
      <c r="B36" s="26" t="s">
        <v>11</v>
      </c>
      <c r="C36" s="94">
        <v>174</v>
      </c>
      <c r="D36" s="97">
        <v>193</v>
      </c>
      <c r="E36" s="94">
        <v>0</v>
      </c>
      <c r="F36" s="235">
        <v>0</v>
      </c>
      <c r="G36" s="111">
        <v>72497085</v>
      </c>
      <c r="H36" s="111">
        <v>66963692</v>
      </c>
      <c r="I36" s="1" t="s">
        <v>315</v>
      </c>
    </row>
    <row r="37" spans="2:9" ht="15.75" x14ac:dyDescent="0.25">
      <c r="B37" s="26" t="s">
        <v>177</v>
      </c>
      <c r="C37" s="94">
        <v>0</v>
      </c>
      <c r="D37" s="235">
        <v>15</v>
      </c>
      <c r="E37" s="94">
        <v>0</v>
      </c>
      <c r="F37" s="235">
        <v>0</v>
      </c>
      <c r="G37" s="111">
        <v>9707232</v>
      </c>
      <c r="H37" s="111">
        <v>8887538</v>
      </c>
      <c r="I37" s="1" t="s">
        <v>316</v>
      </c>
    </row>
    <row r="38" spans="2:9" s="9" customFormat="1" ht="15.75" x14ac:dyDescent="0.25">
      <c r="B38" s="25" t="s">
        <v>179</v>
      </c>
      <c r="C38" s="133">
        <f>+C35-C36-C37</f>
        <v>1201.2</v>
      </c>
      <c r="D38" s="28">
        <v>664</v>
      </c>
      <c r="E38" s="133">
        <f>+E35-E36-E37</f>
        <v>4960.5619650712933</v>
      </c>
      <c r="F38" s="133">
        <v>-84813</v>
      </c>
      <c r="G38" s="203"/>
      <c r="H38" s="203">
        <f>SUM(G35:H37)</f>
        <v>196893480</v>
      </c>
    </row>
    <row r="39" spans="2:9" ht="15.75" x14ac:dyDescent="0.25">
      <c r="B39" s="26" t="s">
        <v>188</v>
      </c>
      <c r="C39" s="94">
        <v>0</v>
      </c>
      <c r="D39" s="235">
        <v>0</v>
      </c>
      <c r="E39" s="145">
        <v>0</v>
      </c>
      <c r="F39" s="236">
        <v>0</v>
      </c>
    </row>
    <row r="40" spans="2:9" s="9" customFormat="1" ht="15.75" x14ac:dyDescent="0.25">
      <c r="B40" s="25" t="s">
        <v>12</v>
      </c>
      <c r="C40" s="133">
        <f>+C38+C39</f>
        <v>1201.2</v>
      </c>
      <c r="D40" s="28">
        <v>664</v>
      </c>
      <c r="E40" s="133">
        <f>+E38+E39</f>
        <v>4960.5619650712933</v>
      </c>
      <c r="F40" s="133">
        <v>-84813</v>
      </c>
    </row>
    <row r="41" spans="2:9" ht="15.75" x14ac:dyDescent="0.25">
      <c r="B41" s="26" t="s">
        <v>180</v>
      </c>
      <c r="C41" s="94">
        <v>254</v>
      </c>
      <c r="D41" s="94">
        <v>199</v>
      </c>
      <c r="E41" s="94">
        <f>143582200.460492/1000000</f>
        <v>143.582200460492</v>
      </c>
      <c r="F41" s="235">
        <v>1899</v>
      </c>
    </row>
    <row r="42" spans="2:9" s="9" customFormat="1" ht="15.75" x14ac:dyDescent="0.25">
      <c r="B42" s="25" t="s">
        <v>13</v>
      </c>
      <c r="C42" s="133">
        <f>+C40-C41</f>
        <v>947.2</v>
      </c>
      <c r="D42" s="28">
        <v>465</v>
      </c>
      <c r="E42" s="133">
        <f>+E40-E41</f>
        <v>4816.9797646108018</v>
      </c>
      <c r="F42" s="133">
        <v>-86712</v>
      </c>
    </row>
    <row r="43" spans="2:9" s="9" customFormat="1" ht="15.75" x14ac:dyDescent="0.25">
      <c r="B43" s="25" t="s">
        <v>14</v>
      </c>
      <c r="C43" s="133"/>
      <c r="D43" s="119"/>
      <c r="E43" s="133"/>
      <c r="F43" s="119"/>
    </row>
    <row r="44" spans="2:9" ht="15.75" x14ac:dyDescent="0.25">
      <c r="B44" s="26" t="s">
        <v>117</v>
      </c>
      <c r="C44" s="94">
        <f>+C42</f>
        <v>947.2</v>
      </c>
      <c r="D44" s="239">
        <v>465</v>
      </c>
      <c r="E44" s="94">
        <f>+E42</f>
        <v>4816.9797646108018</v>
      </c>
      <c r="F44" s="94">
        <v>-86712</v>
      </c>
    </row>
    <row r="45" spans="2:9" ht="15.75" x14ac:dyDescent="0.25">
      <c r="B45" s="26" t="s">
        <v>181</v>
      </c>
      <c r="C45" s="94"/>
      <c r="D45" s="235"/>
      <c r="E45" s="94"/>
      <c r="F45" s="235"/>
    </row>
    <row r="46" spans="2:9" s="9" customFormat="1" ht="15.75" x14ac:dyDescent="0.25">
      <c r="B46" s="25" t="s">
        <v>116</v>
      </c>
      <c r="C46" s="133"/>
      <c r="D46" s="119"/>
      <c r="E46" s="133"/>
      <c r="F46" s="119"/>
    </row>
    <row r="47" spans="2:9" ht="15.75" x14ac:dyDescent="0.25">
      <c r="B47" s="26" t="s">
        <v>15</v>
      </c>
      <c r="C47" s="94"/>
      <c r="D47" s="235"/>
      <c r="E47" s="293"/>
      <c r="F47" s="237"/>
    </row>
    <row r="48" spans="2:9" ht="15.75" x14ac:dyDescent="0.25">
      <c r="B48" s="26" t="s">
        <v>119</v>
      </c>
      <c r="C48" s="94"/>
      <c r="D48" s="235"/>
      <c r="E48" s="293"/>
      <c r="F48" s="237"/>
    </row>
    <row r="49" spans="3:3" x14ac:dyDescent="0.25">
      <c r="C49" s="240"/>
    </row>
  </sheetData>
  <mergeCells count="6">
    <mergeCell ref="C5:D5"/>
    <mergeCell ref="E5:F5"/>
    <mergeCell ref="B1:F1"/>
    <mergeCell ref="B2:F2"/>
    <mergeCell ref="B4:F4"/>
    <mergeCell ref="B3:F3"/>
  </mergeCells>
  <phoneticPr fontId="0" type="noConversion"/>
  <pageMargins left="0.59055118110236204" right="0.43307086614173201" top="0.74803149606299202" bottom="0.74803149606299202" header="0.35433070866141703" footer="0.31496062992126"/>
  <pageSetup paperSize="9" scale="75" fitToHeight="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zoomScaleNormal="100" workbookViewId="0">
      <selection activeCell="H28" sqref="H28"/>
    </sheetView>
  </sheetViews>
  <sheetFormatPr defaultRowHeight="15" x14ac:dyDescent="0.25"/>
  <cols>
    <col min="1" max="1" width="59.28515625" style="1" customWidth="1"/>
    <col min="2" max="3" width="12" style="8" customWidth="1"/>
    <col min="4" max="4" width="12.7109375" style="240" bestFit="1" customWidth="1"/>
    <col min="5" max="5" width="12.7109375" style="144" bestFit="1" customWidth="1"/>
    <col min="6" max="16384" width="9.140625" style="1"/>
  </cols>
  <sheetData>
    <row r="1" spans="1:5" ht="15.75" x14ac:dyDescent="0.25">
      <c r="A1" s="305" t="s">
        <v>21</v>
      </c>
      <c r="B1" s="306"/>
      <c r="C1" s="306"/>
      <c r="D1" s="306"/>
      <c r="E1" s="307"/>
    </row>
    <row r="2" spans="1:5" ht="15.75" x14ac:dyDescent="0.25">
      <c r="A2" s="308" t="s">
        <v>22</v>
      </c>
      <c r="B2" s="309"/>
      <c r="C2" s="309"/>
      <c r="D2" s="309"/>
      <c r="E2" s="310"/>
    </row>
    <row r="3" spans="1:5" ht="15.75" x14ac:dyDescent="0.25">
      <c r="A3" s="314" t="s">
        <v>349</v>
      </c>
      <c r="B3" s="315"/>
      <c r="C3" s="315"/>
      <c r="D3" s="315"/>
      <c r="E3" s="316"/>
    </row>
    <row r="4" spans="1:5" ht="15.75" x14ac:dyDescent="0.25">
      <c r="A4" s="47"/>
      <c r="B4" s="45"/>
      <c r="C4" s="45"/>
      <c r="D4" s="268"/>
      <c r="E4" s="209"/>
    </row>
    <row r="5" spans="1:5" ht="15.75" x14ac:dyDescent="0.25">
      <c r="A5" s="42"/>
      <c r="B5" s="320" t="s">
        <v>16</v>
      </c>
      <c r="C5" s="321"/>
      <c r="D5" s="322" t="s">
        <v>25</v>
      </c>
      <c r="E5" s="323"/>
    </row>
    <row r="6" spans="1:5" ht="31.5" x14ac:dyDescent="0.25">
      <c r="A6" s="43" t="s">
        <v>182</v>
      </c>
      <c r="B6" s="83" t="s">
        <v>118</v>
      </c>
      <c r="C6" s="198" t="s">
        <v>159</v>
      </c>
      <c r="D6" s="269" t="s">
        <v>118</v>
      </c>
      <c r="E6" s="198" t="s">
        <v>159</v>
      </c>
    </row>
    <row r="7" spans="1:5" ht="15.75" x14ac:dyDescent="0.25">
      <c r="A7" s="43"/>
      <c r="B7" s="84" t="s">
        <v>18</v>
      </c>
      <c r="C7" s="234" t="s">
        <v>18</v>
      </c>
      <c r="D7" s="270" t="s">
        <v>18</v>
      </c>
      <c r="E7" s="234" t="s">
        <v>18</v>
      </c>
    </row>
    <row r="8" spans="1:5" ht="15.75" x14ac:dyDescent="0.25">
      <c r="A8" s="41"/>
      <c r="B8" s="84" t="s">
        <v>341</v>
      </c>
      <c r="C8" s="200" t="s">
        <v>335</v>
      </c>
      <c r="D8" s="270" t="s">
        <v>341</v>
      </c>
      <c r="E8" s="200" t="s">
        <v>335</v>
      </c>
    </row>
    <row r="9" spans="1:5" ht="15.75" x14ac:dyDescent="0.25">
      <c r="A9" s="41"/>
      <c r="B9" s="84" t="s">
        <v>19</v>
      </c>
      <c r="C9" s="234" t="s">
        <v>19</v>
      </c>
      <c r="D9" s="270" t="s">
        <v>19</v>
      </c>
      <c r="E9" s="234" t="s">
        <v>19</v>
      </c>
    </row>
    <row r="10" spans="1:5" ht="15.75" x14ac:dyDescent="0.25">
      <c r="A10" s="41"/>
      <c r="B10" s="57" t="s">
        <v>350</v>
      </c>
      <c r="C10" s="57" t="s">
        <v>351</v>
      </c>
      <c r="D10" s="57" t="s">
        <v>350</v>
      </c>
      <c r="E10" s="57" t="s">
        <v>351</v>
      </c>
    </row>
    <row r="11" spans="1:5" ht="15.75" x14ac:dyDescent="0.25">
      <c r="A11" s="44"/>
      <c r="B11" s="85" t="s">
        <v>99</v>
      </c>
      <c r="C11" s="201" t="s">
        <v>99</v>
      </c>
      <c r="D11" s="267" t="s">
        <v>100</v>
      </c>
      <c r="E11" s="201" t="s">
        <v>100</v>
      </c>
    </row>
    <row r="12" spans="1:5" s="9" customFormat="1" ht="15.75" x14ac:dyDescent="0.25">
      <c r="A12" s="25" t="s">
        <v>23</v>
      </c>
      <c r="B12" s="133">
        <f>+'INCOME-I'!C42</f>
        <v>947.2</v>
      </c>
      <c r="C12" s="133">
        <f>+'INCOME-I'!D42</f>
        <v>465</v>
      </c>
      <c r="D12" s="133">
        <f>+'INCOME-I'!E42</f>
        <v>4816.9797646108018</v>
      </c>
      <c r="E12" s="133">
        <f>+'INCOME-I'!F42</f>
        <v>-86712</v>
      </c>
    </row>
    <row r="13" spans="1:5" ht="15.75" x14ac:dyDescent="0.25">
      <c r="A13" s="26"/>
      <c r="B13" s="94"/>
      <c r="C13" s="94"/>
      <c r="D13" s="94"/>
      <c r="E13" s="94"/>
    </row>
    <row r="14" spans="1:5" s="9" customFormat="1" ht="15.75" x14ac:dyDescent="0.25">
      <c r="A14" s="25" t="s">
        <v>183</v>
      </c>
      <c r="B14" s="133"/>
      <c r="C14" s="133"/>
      <c r="D14" s="133"/>
      <c r="E14" s="133"/>
    </row>
    <row r="15" spans="1:5" s="9" customFormat="1" ht="15.75" x14ac:dyDescent="0.25">
      <c r="A15" s="26" t="s">
        <v>184</v>
      </c>
      <c r="B15" s="94">
        <v>0</v>
      </c>
      <c r="C15" s="94">
        <v>0</v>
      </c>
      <c r="D15" s="94">
        <v>0</v>
      </c>
      <c r="E15" s="94">
        <v>0</v>
      </c>
    </row>
    <row r="16" spans="1:5" s="9" customFormat="1" ht="15.75" x14ac:dyDescent="0.25">
      <c r="A16" s="26" t="s">
        <v>185</v>
      </c>
      <c r="B16" s="94">
        <v>0</v>
      </c>
      <c r="C16" s="94">
        <v>0</v>
      </c>
      <c r="D16" s="94">
        <v>0</v>
      </c>
      <c r="E16" s="94">
        <v>0</v>
      </c>
    </row>
    <row r="17" spans="1:8" s="9" customFormat="1" ht="15.75" x14ac:dyDescent="0.25">
      <c r="A17" s="6" t="s">
        <v>186</v>
      </c>
      <c r="B17" s="317">
        <v>0</v>
      </c>
      <c r="C17" s="317">
        <v>0</v>
      </c>
      <c r="D17" s="317">
        <v>0</v>
      </c>
      <c r="E17" s="317">
        <v>0</v>
      </c>
    </row>
    <row r="18" spans="1:8" s="9" customFormat="1" ht="15.75" x14ac:dyDescent="0.25">
      <c r="A18" s="153" t="s">
        <v>187</v>
      </c>
      <c r="B18" s="318"/>
      <c r="C18" s="318"/>
      <c r="D18" s="318"/>
      <c r="E18" s="318"/>
      <c r="H18" s="152"/>
    </row>
    <row r="19" spans="1:8" ht="15.75" x14ac:dyDescent="0.25">
      <c r="A19" s="26" t="s">
        <v>188</v>
      </c>
      <c r="B19" s="94">
        <v>0</v>
      </c>
      <c r="C19" s="94">
        <v>0</v>
      </c>
      <c r="D19" s="94">
        <v>0</v>
      </c>
      <c r="E19" s="94">
        <v>0</v>
      </c>
    </row>
    <row r="20" spans="1:8" ht="15.75" x14ac:dyDescent="0.25">
      <c r="A20" s="26" t="s">
        <v>189</v>
      </c>
      <c r="B20" s="94">
        <v>0</v>
      </c>
      <c r="C20" s="94">
        <v>0</v>
      </c>
      <c r="D20" s="94">
        <v>0</v>
      </c>
      <c r="E20" s="94">
        <v>0</v>
      </c>
    </row>
    <row r="21" spans="1:8" ht="15.75" x14ac:dyDescent="0.25">
      <c r="A21" s="26" t="s">
        <v>190</v>
      </c>
      <c r="B21" s="94">
        <v>0</v>
      </c>
      <c r="C21" s="94">
        <v>0</v>
      </c>
      <c r="D21" s="94">
        <v>0</v>
      </c>
      <c r="E21" s="94">
        <v>0</v>
      </c>
    </row>
    <row r="22" spans="1:8" ht="15.75" x14ac:dyDescent="0.25">
      <c r="A22" s="6" t="s">
        <v>191</v>
      </c>
      <c r="B22" s="317">
        <v>0</v>
      </c>
      <c r="C22" s="317">
        <v>0</v>
      </c>
      <c r="D22" s="317">
        <v>0</v>
      </c>
      <c r="E22" s="317">
        <v>0</v>
      </c>
    </row>
    <row r="23" spans="1:8" ht="15.75" x14ac:dyDescent="0.25">
      <c r="A23" s="153" t="s">
        <v>192</v>
      </c>
      <c r="B23" s="318"/>
      <c r="C23" s="318"/>
      <c r="D23" s="318"/>
      <c r="E23" s="318"/>
      <c r="H23" s="55"/>
    </row>
    <row r="24" spans="1:8" ht="15.75" x14ac:dyDescent="0.25">
      <c r="A24" s="153"/>
      <c r="B24" s="156"/>
      <c r="C24" s="156"/>
      <c r="D24" s="156"/>
      <c r="E24" s="156"/>
      <c r="H24" s="55"/>
    </row>
    <row r="25" spans="1:8" ht="15.75" x14ac:dyDescent="0.25">
      <c r="A25" s="25" t="s">
        <v>193</v>
      </c>
      <c r="B25" s="156"/>
      <c r="C25" s="156"/>
      <c r="D25" s="156"/>
      <c r="E25" s="156"/>
      <c r="H25" s="55"/>
    </row>
    <row r="26" spans="1:8" ht="15.75" x14ac:dyDescent="0.25">
      <c r="A26" s="157" t="s">
        <v>194</v>
      </c>
      <c r="B26" s="317">
        <v>0</v>
      </c>
      <c r="C26" s="317">
        <v>0</v>
      </c>
      <c r="D26" s="317">
        <v>0</v>
      </c>
      <c r="E26" s="317">
        <v>0</v>
      </c>
      <c r="H26" s="55"/>
    </row>
    <row r="27" spans="1:8" ht="15.75" x14ac:dyDescent="0.25">
      <c r="A27" s="153" t="s">
        <v>195</v>
      </c>
      <c r="B27" s="318"/>
      <c r="C27" s="318"/>
      <c r="D27" s="318"/>
      <c r="E27" s="318"/>
      <c r="G27" s="55"/>
      <c r="H27" s="55"/>
    </row>
    <row r="28" spans="1:8" ht="15.75" x14ac:dyDescent="0.25">
      <c r="A28" s="157" t="s">
        <v>196</v>
      </c>
      <c r="B28" s="317">
        <v>0</v>
      </c>
      <c r="C28" s="317">
        <v>0</v>
      </c>
      <c r="D28" s="317">
        <v>0</v>
      </c>
      <c r="E28" s="317">
        <v>0</v>
      </c>
      <c r="H28" s="55"/>
    </row>
    <row r="29" spans="1:8" ht="15.75" x14ac:dyDescent="0.25">
      <c r="A29" s="157" t="s">
        <v>197</v>
      </c>
      <c r="B29" s="319"/>
      <c r="C29" s="319"/>
      <c r="D29" s="319"/>
      <c r="E29" s="319"/>
      <c r="H29" s="55"/>
    </row>
    <row r="30" spans="1:8" ht="15.75" x14ac:dyDescent="0.25">
      <c r="A30" s="153" t="s">
        <v>30</v>
      </c>
      <c r="B30" s="318"/>
      <c r="C30" s="318"/>
      <c r="D30" s="318"/>
      <c r="E30" s="318"/>
      <c r="H30" s="55"/>
    </row>
    <row r="31" spans="1:8" ht="15.75" x14ac:dyDescent="0.25">
      <c r="A31" s="153" t="s">
        <v>198</v>
      </c>
      <c r="B31" s="156">
        <v>0</v>
      </c>
      <c r="C31" s="156">
        <v>0</v>
      </c>
      <c r="D31" s="156">
        <v>0</v>
      </c>
      <c r="E31" s="156">
        <v>0</v>
      </c>
      <c r="H31" s="55"/>
    </row>
    <row r="32" spans="1:8" ht="15.75" x14ac:dyDescent="0.25">
      <c r="A32" s="153" t="s">
        <v>24</v>
      </c>
      <c r="B32" s="156">
        <v>0</v>
      </c>
      <c r="C32" s="156">
        <v>0</v>
      </c>
      <c r="D32" s="156">
        <v>0</v>
      </c>
      <c r="E32" s="156">
        <v>0</v>
      </c>
      <c r="H32" s="55"/>
    </row>
    <row r="33" spans="1:8" ht="15.75" x14ac:dyDescent="0.25">
      <c r="A33" s="153" t="s">
        <v>188</v>
      </c>
      <c r="B33" s="156">
        <v>0</v>
      </c>
      <c r="C33" s="156">
        <v>0</v>
      </c>
      <c r="D33" s="156">
        <v>0</v>
      </c>
      <c r="E33" s="156">
        <v>0</v>
      </c>
      <c r="H33" s="55"/>
    </row>
    <row r="34" spans="1:8" ht="15.75" x14ac:dyDescent="0.25">
      <c r="A34" s="153" t="s">
        <v>308</v>
      </c>
      <c r="B34" s="156">
        <v>-57</v>
      </c>
      <c r="C34" s="245">
        <v>78</v>
      </c>
      <c r="D34" s="156"/>
      <c r="E34" s="156"/>
      <c r="H34" s="55"/>
    </row>
    <row r="35" spans="1:8" ht="15.75" x14ac:dyDescent="0.25">
      <c r="A35" s="6" t="s">
        <v>200</v>
      </c>
      <c r="B35" s="317">
        <v>0</v>
      </c>
      <c r="C35" s="317">
        <v>0</v>
      </c>
      <c r="D35" s="317">
        <v>0</v>
      </c>
      <c r="E35" s="317">
        <v>0</v>
      </c>
      <c r="F35" s="158"/>
      <c r="H35" s="55"/>
    </row>
    <row r="36" spans="1:8" ht="15.75" x14ac:dyDescent="0.25">
      <c r="A36" s="153" t="s">
        <v>199</v>
      </c>
      <c r="B36" s="318"/>
      <c r="C36" s="318"/>
      <c r="D36" s="318"/>
      <c r="E36" s="318"/>
      <c r="H36" s="55"/>
    </row>
    <row r="37" spans="1:8" s="9" customFormat="1" ht="15.75" x14ac:dyDescent="0.25">
      <c r="A37" s="25" t="s">
        <v>201</v>
      </c>
      <c r="B37" s="133">
        <f>SUM(B19:B36)</f>
        <v>-57</v>
      </c>
      <c r="C37" s="133">
        <f>SUM(C19:C36)</f>
        <v>78</v>
      </c>
      <c r="D37" s="133">
        <f>+D20</f>
        <v>0</v>
      </c>
      <c r="E37" s="133">
        <f>+E20</f>
        <v>0</v>
      </c>
    </row>
    <row r="38" spans="1:8" s="9" customFormat="1" ht="15.75" x14ac:dyDescent="0.25">
      <c r="A38" s="25"/>
      <c r="B38" s="133"/>
      <c r="C38" s="133"/>
      <c r="D38" s="133"/>
      <c r="E38" s="133"/>
    </row>
    <row r="39" spans="1:8" ht="15.75" x14ac:dyDescent="0.25">
      <c r="A39" s="25" t="s">
        <v>339</v>
      </c>
      <c r="B39" s="133">
        <f>+B37+B12</f>
        <v>890.2</v>
      </c>
      <c r="C39" s="133">
        <f>+C37+C12</f>
        <v>543</v>
      </c>
      <c r="D39" s="133">
        <f>+D37+D12</f>
        <v>4816.9797646108018</v>
      </c>
      <c r="E39" s="133">
        <f>+E37+E12</f>
        <v>-86712</v>
      </c>
    </row>
    <row r="40" spans="1:8" ht="15.75" x14ac:dyDescent="0.25">
      <c r="A40" s="26" t="s">
        <v>202</v>
      </c>
      <c r="B40" s="94">
        <f>+B39</f>
        <v>890.2</v>
      </c>
      <c r="C40" s="94">
        <f>+C39</f>
        <v>543</v>
      </c>
      <c r="D40" s="94">
        <f>+D39</f>
        <v>4816.9797646108018</v>
      </c>
      <c r="E40" s="94">
        <f>+E39</f>
        <v>-86712</v>
      </c>
    </row>
    <row r="41" spans="1:8" ht="15.75" x14ac:dyDescent="0.25">
      <c r="A41" s="26" t="s">
        <v>181</v>
      </c>
      <c r="B41" s="94">
        <v>0</v>
      </c>
      <c r="C41" s="94">
        <v>0</v>
      </c>
      <c r="D41" s="94">
        <v>0</v>
      </c>
      <c r="E41" s="94">
        <v>0</v>
      </c>
    </row>
  </sheetData>
  <mergeCells count="25">
    <mergeCell ref="B5:C5"/>
    <mergeCell ref="D5:E5"/>
    <mergeCell ref="A1:E1"/>
    <mergeCell ref="A2:E2"/>
    <mergeCell ref="A3:E3"/>
    <mergeCell ref="B17:B18"/>
    <mergeCell ref="C17:C18"/>
    <mergeCell ref="D17:D18"/>
    <mergeCell ref="E17:E18"/>
    <mergeCell ref="B22:B23"/>
    <mergeCell ref="C22:C23"/>
    <mergeCell ref="D22:D23"/>
    <mergeCell ref="E22:E23"/>
    <mergeCell ref="B35:B36"/>
    <mergeCell ref="C35:C36"/>
    <mergeCell ref="D35:D36"/>
    <mergeCell ref="E35:E36"/>
    <mergeCell ref="B26:B27"/>
    <mergeCell ref="C26:C27"/>
    <mergeCell ref="D26:D27"/>
    <mergeCell ref="E26:E27"/>
    <mergeCell ref="B28:B30"/>
    <mergeCell ref="C28:C30"/>
    <mergeCell ref="D28:D30"/>
    <mergeCell ref="E28:E30"/>
  </mergeCells>
  <phoneticPr fontId="0" type="noConversion"/>
  <pageMargins left="0.44" right="0.17" top="0.74803149606299213" bottom="0.74803149606299213" header="0.31496062992125984" footer="0.31496062992125984"/>
  <pageSetup paperSize="9" scale="89" fitToHeight="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9"/>
  <sheetViews>
    <sheetView zoomScaleNormal="100" workbookViewId="0">
      <selection activeCell="C22" sqref="C22"/>
    </sheetView>
  </sheetViews>
  <sheetFormatPr defaultRowHeight="15" x14ac:dyDescent="0.25"/>
  <cols>
    <col min="1" max="1" width="48.85546875" style="1" customWidth="1"/>
    <col min="2" max="2" width="11.28515625" style="13" customWidth="1"/>
    <col min="3" max="3" width="12.7109375" style="8" customWidth="1"/>
    <col min="4" max="4" width="13" style="274" customWidth="1"/>
    <col min="5" max="5" width="12.85546875" style="13" customWidth="1"/>
    <col min="6" max="6" width="13.7109375" style="1" bestFit="1" customWidth="1"/>
    <col min="7" max="16384" width="9.140625" style="1"/>
  </cols>
  <sheetData>
    <row r="1" spans="1:5" ht="15.75" x14ac:dyDescent="0.25">
      <c r="A1" s="305" t="s">
        <v>21</v>
      </c>
      <c r="B1" s="306"/>
      <c r="C1" s="306"/>
      <c r="D1" s="306"/>
      <c r="E1" s="307"/>
    </row>
    <row r="2" spans="1:5" ht="15.75" x14ac:dyDescent="0.25">
      <c r="A2" s="308" t="s">
        <v>112</v>
      </c>
      <c r="B2" s="309"/>
      <c r="C2" s="309"/>
      <c r="D2" s="309"/>
      <c r="E2" s="310"/>
    </row>
    <row r="3" spans="1:5" ht="15.75" x14ac:dyDescent="0.25">
      <c r="A3" s="308" t="s">
        <v>355</v>
      </c>
      <c r="B3" s="309"/>
      <c r="C3" s="309"/>
      <c r="D3" s="309"/>
      <c r="E3" s="310"/>
    </row>
    <row r="4" spans="1:5" ht="15.75" x14ac:dyDescent="0.25">
      <c r="A4" s="311"/>
      <c r="B4" s="312"/>
      <c r="C4" s="312"/>
      <c r="D4" s="312"/>
      <c r="E4" s="313"/>
    </row>
    <row r="5" spans="1:5" ht="15.75" x14ac:dyDescent="0.25">
      <c r="A5" s="42"/>
      <c r="B5" s="324" t="s">
        <v>16</v>
      </c>
      <c r="C5" s="325"/>
      <c r="D5" s="326" t="s">
        <v>25</v>
      </c>
      <c r="E5" s="327"/>
    </row>
    <row r="6" spans="1:5" ht="15.75" x14ac:dyDescent="0.25">
      <c r="A6" s="43" t="s">
        <v>182</v>
      </c>
      <c r="B6" s="83" t="s">
        <v>309</v>
      </c>
      <c r="C6" s="83" t="s">
        <v>311</v>
      </c>
      <c r="D6" s="269" t="s">
        <v>312</v>
      </c>
      <c r="E6" s="198" t="s">
        <v>311</v>
      </c>
    </row>
    <row r="7" spans="1:5" ht="15.75" x14ac:dyDescent="0.25">
      <c r="A7" s="43"/>
      <c r="B7" s="189" t="s">
        <v>310</v>
      </c>
      <c r="C7" s="189" t="s">
        <v>310</v>
      </c>
      <c r="D7" s="271" t="s">
        <v>310</v>
      </c>
      <c r="E7" s="199" t="s">
        <v>310</v>
      </c>
    </row>
    <row r="8" spans="1:5" ht="15.75" x14ac:dyDescent="0.25">
      <c r="A8" s="43"/>
      <c r="B8" s="86" t="s">
        <v>98</v>
      </c>
      <c r="C8" s="84" t="s">
        <v>98</v>
      </c>
      <c r="D8" s="272" t="s">
        <v>98</v>
      </c>
      <c r="E8" s="207" t="s">
        <v>98</v>
      </c>
    </row>
    <row r="9" spans="1:5" ht="15.75" x14ac:dyDescent="0.25">
      <c r="A9" s="41"/>
      <c r="B9" s="86" t="s">
        <v>350</v>
      </c>
      <c r="C9" s="86" t="s">
        <v>342</v>
      </c>
      <c r="D9" s="272" t="str">
        <f>+B9</f>
        <v>31.12.2020</v>
      </c>
      <c r="E9" s="207" t="str">
        <f>+C9</f>
        <v>31.03.2020</v>
      </c>
    </row>
    <row r="10" spans="1:5" ht="15.75" x14ac:dyDescent="0.25">
      <c r="A10" s="44"/>
      <c r="B10" s="87" t="s">
        <v>99</v>
      </c>
      <c r="C10" s="233" t="s">
        <v>99</v>
      </c>
      <c r="D10" s="248" t="s">
        <v>100</v>
      </c>
      <c r="E10" s="202" t="s">
        <v>100</v>
      </c>
    </row>
    <row r="11" spans="1:5" ht="15.75" x14ac:dyDescent="0.25">
      <c r="A11" s="44"/>
      <c r="B11" s="202"/>
      <c r="C11" s="233" t="s">
        <v>126</v>
      </c>
      <c r="D11" s="202"/>
      <c r="E11" s="202" t="s">
        <v>126</v>
      </c>
    </row>
    <row r="12" spans="1:5" ht="15.75" x14ac:dyDescent="0.25">
      <c r="A12" s="25" t="s">
        <v>26</v>
      </c>
      <c r="B12" s="208"/>
      <c r="C12" s="94"/>
      <c r="D12" s="208"/>
      <c r="E12" s="208"/>
    </row>
    <row r="13" spans="1:5" ht="15.75" x14ac:dyDescent="0.25">
      <c r="A13" s="26" t="s">
        <v>120</v>
      </c>
      <c r="B13" s="281">
        <f>34721.91188/1000+11186.707/1000+1715.70805/1000+101061.42767/1000+4081000000/1000000-4031585.30055659/1000000</f>
        <v>4225.6541692994433</v>
      </c>
      <c r="C13" s="94">
        <v>26055</v>
      </c>
      <c r="D13" s="94">
        <f>84972157837.646/1000000</f>
        <v>84972.157837645995</v>
      </c>
      <c r="E13" s="94">
        <v>33518</v>
      </c>
    </row>
    <row r="14" spans="1:5" ht="15.75" x14ac:dyDescent="0.25">
      <c r="A14" s="26" t="s">
        <v>27</v>
      </c>
      <c r="B14" s="94">
        <f>36541.5504/1000</f>
        <v>36.541550399999998</v>
      </c>
      <c r="C14" s="94">
        <v>123</v>
      </c>
      <c r="D14" s="94">
        <f>1949729410.94/1000000</f>
        <v>1949.72941094</v>
      </c>
      <c r="E14" s="94">
        <v>1389</v>
      </c>
    </row>
    <row r="15" spans="1:5" ht="15.75" x14ac:dyDescent="0.25">
      <c r="A15" s="26" t="s">
        <v>28</v>
      </c>
      <c r="B15" s="94">
        <v>0</v>
      </c>
      <c r="C15" s="94">
        <v>0</v>
      </c>
      <c r="D15" s="94">
        <f>246313803188.811/1000000</f>
        <v>246313.803188811</v>
      </c>
      <c r="E15" s="94">
        <v>207088</v>
      </c>
    </row>
    <row r="16" spans="1:5" ht="15.75" x14ac:dyDescent="0.25">
      <c r="A16" s="26" t="s">
        <v>29</v>
      </c>
      <c r="B16" s="94">
        <v>0</v>
      </c>
      <c r="C16" s="94">
        <v>0</v>
      </c>
      <c r="D16" s="94">
        <v>0</v>
      </c>
      <c r="E16" s="94">
        <v>0</v>
      </c>
    </row>
    <row r="17" spans="1:7" ht="15.75" x14ac:dyDescent="0.25">
      <c r="A17" s="26" t="s">
        <v>203</v>
      </c>
      <c r="B17" s="94"/>
      <c r="C17" s="94"/>
      <c r="D17" s="94"/>
      <c r="E17" s="94"/>
    </row>
    <row r="18" spans="1:7" ht="15.75" x14ac:dyDescent="0.25">
      <c r="A18" s="26" t="s">
        <v>204</v>
      </c>
      <c r="B18" s="94">
        <v>0</v>
      </c>
      <c r="C18" s="94">
        <v>0</v>
      </c>
      <c r="D18" s="94">
        <v>0</v>
      </c>
      <c r="E18" s="94">
        <v>0</v>
      </c>
    </row>
    <row r="19" spans="1:7" ht="15.75" x14ac:dyDescent="0.25">
      <c r="A19" s="26" t="s">
        <v>205</v>
      </c>
      <c r="B19" s="94">
        <v>0</v>
      </c>
      <c r="C19" s="94">
        <v>0</v>
      </c>
      <c r="D19" s="94">
        <v>0</v>
      </c>
      <c r="E19" s="94">
        <v>0</v>
      </c>
    </row>
    <row r="20" spans="1:7" ht="15.75" x14ac:dyDescent="0.25">
      <c r="A20" s="26" t="s">
        <v>206</v>
      </c>
      <c r="B20" s="94"/>
      <c r="C20" s="94"/>
      <c r="D20" s="94"/>
      <c r="E20" s="94"/>
    </row>
    <row r="21" spans="1:7" ht="15.75" x14ac:dyDescent="0.25">
      <c r="A21" s="26" t="s">
        <v>207</v>
      </c>
      <c r="B21" s="94">
        <f>3676195.68432/1000+2241944.060755/1000+468-(-100140086.675013/1000000)</f>
        <v>6486.2798317500128</v>
      </c>
      <c r="C21" s="94">
        <v>6819</v>
      </c>
      <c r="D21" s="94">
        <f>1244949262337.76/1000000</f>
        <v>1244949.2623377601</v>
      </c>
      <c r="E21" s="94">
        <v>1213334</v>
      </c>
    </row>
    <row r="22" spans="1:7" ht="15.75" x14ac:dyDescent="0.25">
      <c r="A22" s="26" t="s">
        <v>208</v>
      </c>
      <c r="B22" s="281">
        <f>41714750/1000+4712311.38425/1000-B23-(4081000000/1000000)-(10138905.2611583-4031585.30055659)/1000000</f>
        <v>42337.914063289398</v>
      </c>
      <c r="C22" s="94">
        <v>13227</v>
      </c>
      <c r="D22" s="94">
        <f>667672121410.09/1000000</f>
        <v>667672.12141009001</v>
      </c>
      <c r="E22" s="94">
        <v>590974</v>
      </c>
    </row>
    <row r="23" spans="1:7" ht="15.75" x14ac:dyDescent="0.25">
      <c r="A23" s="6" t="s">
        <v>209</v>
      </c>
      <c r="B23" s="317">
        <f>2040001/1000000</f>
        <v>2.0400010000000002</v>
      </c>
      <c r="C23" s="317">
        <v>2</v>
      </c>
      <c r="D23" s="328">
        <f>168622492227.45/1000000</f>
        <v>168622.49222745001</v>
      </c>
      <c r="E23" s="317">
        <v>201798</v>
      </c>
    </row>
    <row r="24" spans="1:7" ht="15.75" x14ac:dyDescent="0.25">
      <c r="A24" s="153" t="s">
        <v>210</v>
      </c>
      <c r="B24" s="318"/>
      <c r="C24" s="318"/>
      <c r="D24" s="329"/>
      <c r="E24" s="318"/>
    </row>
    <row r="25" spans="1:7" ht="15.75" x14ac:dyDescent="0.25">
      <c r="A25" s="26" t="s">
        <v>31</v>
      </c>
      <c r="B25" s="94">
        <v>0</v>
      </c>
      <c r="C25" s="27">
        <v>0</v>
      </c>
      <c r="D25" s="94">
        <v>0</v>
      </c>
      <c r="E25" s="94">
        <v>0</v>
      </c>
    </row>
    <row r="26" spans="1:7" ht="15.75" x14ac:dyDescent="0.25">
      <c r="A26" s="26" t="s">
        <v>32</v>
      </c>
      <c r="B26" s="94">
        <v>0</v>
      </c>
      <c r="C26" s="27">
        <v>0</v>
      </c>
      <c r="D26" s="94">
        <v>0</v>
      </c>
      <c r="E26" s="94">
        <v>0</v>
      </c>
    </row>
    <row r="27" spans="1:7" ht="15.75" x14ac:dyDescent="0.25">
      <c r="A27" s="26" t="s">
        <v>121</v>
      </c>
      <c r="B27" s="94">
        <v>211</v>
      </c>
      <c r="C27" s="27">
        <v>213</v>
      </c>
      <c r="D27" s="94">
        <f>29934136777.6269/1000000</f>
        <v>29934.1367776269</v>
      </c>
      <c r="E27" s="94">
        <v>31273</v>
      </c>
    </row>
    <row r="28" spans="1:7" ht="15.75" x14ac:dyDescent="0.25">
      <c r="A28" s="26" t="s">
        <v>33</v>
      </c>
      <c r="B28" s="94">
        <v>0</v>
      </c>
      <c r="C28" s="27">
        <v>0</v>
      </c>
      <c r="D28" s="94">
        <v>0</v>
      </c>
      <c r="E28" s="94">
        <v>0</v>
      </c>
    </row>
    <row r="29" spans="1:7" ht="15.75" x14ac:dyDescent="0.25">
      <c r="A29" s="26" t="s">
        <v>313</v>
      </c>
      <c r="B29" s="94">
        <v>0</v>
      </c>
      <c r="C29" s="27">
        <f>3707/1000000</f>
        <v>3.7069999999999998E-3</v>
      </c>
      <c r="D29" s="94">
        <v>0</v>
      </c>
      <c r="E29" s="94">
        <v>0</v>
      </c>
    </row>
    <row r="30" spans="1:7" ht="15.75" x14ac:dyDescent="0.25">
      <c r="A30" s="26" t="s">
        <v>166</v>
      </c>
      <c r="B30" s="94">
        <v>0</v>
      </c>
      <c r="C30" s="27">
        <v>1</v>
      </c>
      <c r="D30" s="94">
        <f>62867566372.1489/1000000</f>
        <v>62867.566372148904</v>
      </c>
      <c r="E30" s="94">
        <v>62867</v>
      </c>
    </row>
    <row r="31" spans="1:7" ht="15.75" x14ac:dyDescent="0.25">
      <c r="A31" s="26" t="s">
        <v>34</v>
      </c>
      <c r="B31" s="94">
        <f>379173.09799/1000</f>
        <v>379.17309798999997</v>
      </c>
      <c r="C31" s="27">
        <v>34</v>
      </c>
      <c r="D31" s="94">
        <f>116626447151.375/1000000</f>
        <v>116626.447151375</v>
      </c>
      <c r="E31" s="94">
        <v>265027</v>
      </c>
    </row>
    <row r="32" spans="1:7" s="9" customFormat="1" ht="15.75" x14ac:dyDescent="0.25">
      <c r="A32" s="25" t="s">
        <v>35</v>
      </c>
      <c r="B32" s="133">
        <f>SUM(B13:B31)</f>
        <v>53678.602713728862</v>
      </c>
      <c r="C32" s="28">
        <f>SUM(C13:C31)</f>
        <v>46474.003707000003</v>
      </c>
      <c r="D32" s="133">
        <f>SUM(D13:D31)</f>
        <v>2623907.7167138476</v>
      </c>
      <c r="E32" s="133">
        <f>SUM(E13:E31)</f>
        <v>2607268</v>
      </c>
      <c r="F32" s="90"/>
      <c r="G32" s="90"/>
    </row>
    <row r="33" spans="1:5" ht="15.75" x14ac:dyDescent="0.25">
      <c r="A33" s="25" t="s">
        <v>36</v>
      </c>
      <c r="B33" s="94"/>
      <c r="C33" s="27"/>
      <c r="D33" s="94"/>
      <c r="E33" s="94"/>
    </row>
    <row r="34" spans="1:5" ht="15.75" x14ac:dyDescent="0.25">
      <c r="A34" s="26" t="s">
        <v>37</v>
      </c>
      <c r="B34" s="94">
        <f>37405250000/1000000</f>
        <v>37405.25</v>
      </c>
      <c r="C34" s="27">
        <v>30922</v>
      </c>
      <c r="D34" s="94">
        <f>3442661698.40625/1000000</f>
        <v>3442.6616984062498</v>
      </c>
      <c r="E34" s="94">
        <v>4196</v>
      </c>
    </row>
    <row r="35" spans="1:5" ht="15.75" x14ac:dyDescent="0.25">
      <c r="A35" s="26" t="s">
        <v>29</v>
      </c>
      <c r="B35" s="94">
        <v>0</v>
      </c>
      <c r="C35" s="27">
        <v>0</v>
      </c>
      <c r="D35" s="94">
        <v>0</v>
      </c>
      <c r="E35" s="94">
        <v>0</v>
      </c>
    </row>
    <row r="36" spans="1:5" ht="15.75" x14ac:dyDescent="0.25">
      <c r="A36" s="26" t="s">
        <v>216</v>
      </c>
      <c r="B36" s="94"/>
      <c r="C36" s="27"/>
      <c r="D36" s="94"/>
      <c r="E36" s="94"/>
    </row>
    <row r="37" spans="1:5" ht="15.75" x14ac:dyDescent="0.25">
      <c r="A37" s="26" t="s">
        <v>204</v>
      </c>
      <c r="B37" s="94">
        <v>0</v>
      </c>
      <c r="C37" s="27">
        <v>0</v>
      </c>
      <c r="D37" s="94">
        <v>0</v>
      </c>
      <c r="E37" s="94">
        <v>0</v>
      </c>
    </row>
    <row r="38" spans="1:5" ht="15.75" x14ac:dyDescent="0.25">
      <c r="A38" s="26" t="s">
        <v>205</v>
      </c>
      <c r="B38" s="94">
        <v>0</v>
      </c>
      <c r="C38" s="27">
        <v>0</v>
      </c>
      <c r="D38" s="94">
        <v>0</v>
      </c>
      <c r="E38" s="94">
        <v>0</v>
      </c>
    </row>
    <row r="39" spans="1:5" ht="15.75" x14ac:dyDescent="0.25">
      <c r="A39" s="26" t="s">
        <v>211</v>
      </c>
      <c r="B39" s="94"/>
      <c r="C39" s="27"/>
      <c r="D39" s="94"/>
      <c r="E39" s="94"/>
    </row>
    <row r="40" spans="1:5" ht="15.75" x14ac:dyDescent="0.25">
      <c r="A40" s="26" t="s">
        <v>212</v>
      </c>
      <c r="B40" s="94">
        <f>(1024850.32546+3555014.031095)/1000</f>
        <v>4579.8643565550001</v>
      </c>
      <c r="C40" s="27">
        <v>4932</v>
      </c>
      <c r="D40" s="94">
        <f>2337942494632.6/1000000</f>
        <v>2337942.4946325999</v>
      </c>
      <c r="E40" s="94">
        <v>2228749</v>
      </c>
    </row>
    <row r="41" spans="1:5" ht="15.75" x14ac:dyDescent="0.25">
      <c r="A41" s="26" t="s">
        <v>213</v>
      </c>
      <c r="B41" s="94">
        <v>0</v>
      </c>
      <c r="C41" s="27">
        <v>0</v>
      </c>
      <c r="D41" s="94">
        <v>0</v>
      </c>
      <c r="E41" s="94">
        <v>0</v>
      </c>
    </row>
    <row r="42" spans="1:5" ht="15.75" x14ac:dyDescent="0.25">
      <c r="A42" s="26" t="s">
        <v>214</v>
      </c>
      <c r="B42" s="94">
        <v>0</v>
      </c>
      <c r="C42" s="27">
        <v>0</v>
      </c>
      <c r="D42" s="94">
        <v>0</v>
      </c>
      <c r="E42" s="94">
        <v>0</v>
      </c>
    </row>
    <row r="43" spans="1:5" ht="15.75" x14ac:dyDescent="0.25">
      <c r="A43" s="26" t="s">
        <v>38</v>
      </c>
      <c r="B43" s="94">
        <v>0</v>
      </c>
      <c r="C43" s="27">
        <v>0</v>
      </c>
      <c r="D43" s="94">
        <v>0</v>
      </c>
      <c r="E43" s="94">
        <v>0</v>
      </c>
    </row>
    <row r="44" spans="1:5" ht="15.75" x14ac:dyDescent="0.25">
      <c r="A44" s="26" t="s">
        <v>215</v>
      </c>
      <c r="B44" s="94">
        <f>8778361.95/1000000</f>
        <v>8.778361949999999</v>
      </c>
      <c r="C44" s="27">
        <v>8</v>
      </c>
      <c r="D44" s="94">
        <f>35187100.480555/1000000</f>
        <v>35.187100480554996</v>
      </c>
      <c r="E44" s="94">
        <v>39</v>
      </c>
    </row>
    <row r="45" spans="1:5" ht="15.75" x14ac:dyDescent="0.25">
      <c r="A45" s="26" t="s">
        <v>39</v>
      </c>
      <c r="B45" s="281">
        <f>86929.18466/1000</f>
        <v>86.929184660000004</v>
      </c>
      <c r="C45" s="27">
        <v>36</v>
      </c>
      <c r="D45" s="94">
        <v>0</v>
      </c>
      <c r="E45" s="94">
        <v>0</v>
      </c>
    </row>
    <row r="46" spans="1:5" ht="15.75" x14ac:dyDescent="0.25">
      <c r="A46" s="26" t="s">
        <v>124</v>
      </c>
      <c r="B46" s="281">
        <f>9433.36799/1000</f>
        <v>9.4333679900000007</v>
      </c>
      <c r="C46" s="27">
        <v>0</v>
      </c>
      <c r="D46" s="94">
        <f>3715803.651261/1000000</f>
        <v>3.715803651261</v>
      </c>
      <c r="E46" s="94">
        <v>4</v>
      </c>
    </row>
    <row r="47" spans="1:5" ht="15.75" x14ac:dyDescent="0.25">
      <c r="A47" s="26" t="s">
        <v>40</v>
      </c>
      <c r="B47" s="282">
        <v>220</v>
      </c>
      <c r="C47" s="143">
        <v>181</v>
      </c>
      <c r="D47" s="94">
        <f>0/1000</f>
        <v>0</v>
      </c>
      <c r="E47" s="94">
        <f>0/1000</f>
        <v>0</v>
      </c>
    </row>
    <row r="48" spans="1:5" ht="15.75" x14ac:dyDescent="0.25">
      <c r="A48" s="26" t="s">
        <v>41</v>
      </c>
      <c r="B48" s="282">
        <v>0</v>
      </c>
      <c r="C48" s="143">
        <v>0</v>
      </c>
      <c r="D48" s="94">
        <f>115894970691.622/1000000</f>
        <v>115894.97069162199</v>
      </c>
      <c r="E48" s="94">
        <v>212730</v>
      </c>
    </row>
    <row r="49" spans="1:6" ht="15.75" x14ac:dyDescent="0.25">
      <c r="A49" s="26" t="s">
        <v>42</v>
      </c>
      <c r="B49" s="94">
        <v>0</v>
      </c>
      <c r="C49" s="27">
        <v>0</v>
      </c>
      <c r="D49" s="94">
        <v>0</v>
      </c>
      <c r="E49" s="94">
        <v>0</v>
      </c>
    </row>
    <row r="50" spans="1:6" s="9" customFormat="1" ht="15.75" x14ac:dyDescent="0.25">
      <c r="A50" s="25" t="s">
        <v>43</v>
      </c>
      <c r="B50" s="133">
        <f>SUM(B34:B49)</f>
        <v>42310.255271155002</v>
      </c>
      <c r="C50" s="246">
        <f>SUM(C34:C49)</f>
        <v>36079</v>
      </c>
      <c r="D50" s="133">
        <f>SUM(D34:D49)</f>
        <v>2457319.0299267597</v>
      </c>
      <c r="E50" s="133">
        <f>SUM(E34:E49)</f>
        <v>2445718</v>
      </c>
    </row>
    <row r="51" spans="1:6" ht="15.75" x14ac:dyDescent="0.25">
      <c r="A51" s="25" t="s">
        <v>44</v>
      </c>
      <c r="B51" s="94"/>
      <c r="C51" s="27"/>
      <c r="D51" s="94"/>
      <c r="E51" s="94"/>
    </row>
    <row r="52" spans="1:6" ht="15.75" x14ac:dyDescent="0.25">
      <c r="A52" s="26" t="s">
        <v>45</v>
      </c>
      <c r="B52" s="94">
        <v>2289</v>
      </c>
      <c r="C52" s="27">
        <v>2289</v>
      </c>
      <c r="D52" s="94">
        <f>164369883240/1000000</f>
        <v>164369.88324</v>
      </c>
      <c r="E52" s="94">
        <v>164370</v>
      </c>
    </row>
    <row r="53" spans="1:6" ht="15.75" x14ac:dyDescent="0.25">
      <c r="A53" s="26" t="s">
        <v>46</v>
      </c>
      <c r="B53" s="94">
        <v>380</v>
      </c>
      <c r="C53" s="27">
        <v>380</v>
      </c>
      <c r="D53" s="94">
        <f>29267762322.43/1000000</f>
        <v>29267.76232243</v>
      </c>
      <c r="E53" s="94">
        <v>29268</v>
      </c>
    </row>
    <row r="54" spans="1:6" ht="15.75" x14ac:dyDescent="0.25">
      <c r="A54" s="26" t="s">
        <v>217</v>
      </c>
      <c r="B54" s="239">
        <v>458</v>
      </c>
      <c r="C54" s="27">
        <v>509</v>
      </c>
      <c r="D54" s="94">
        <v>0</v>
      </c>
      <c r="E54" s="94">
        <v>0</v>
      </c>
    </row>
    <row r="55" spans="1:6" ht="15.75" x14ac:dyDescent="0.25">
      <c r="A55" s="26" t="s">
        <v>47</v>
      </c>
      <c r="B55" s="239">
        <v>7840</v>
      </c>
      <c r="C55" s="27">
        <v>6815</v>
      </c>
      <c r="D55" s="94">
        <v>0</v>
      </c>
      <c r="E55" s="94">
        <v>0</v>
      </c>
    </row>
    <row r="56" spans="1:6" ht="15.75" x14ac:dyDescent="0.25">
      <c r="A56" s="26" t="s">
        <v>48</v>
      </c>
      <c r="B56" s="239">
        <v>402</v>
      </c>
      <c r="C56" s="27">
        <v>402</v>
      </c>
      <c r="D56" s="94">
        <f>+(-28028516508.9314+979557733.17)/1000000</f>
        <v>-27048.958775761403</v>
      </c>
      <c r="E56" s="94">
        <v>-32088</v>
      </c>
    </row>
    <row r="57" spans="1:6" s="122" customFormat="1" ht="15.75" x14ac:dyDescent="0.25">
      <c r="A57" s="25" t="s">
        <v>49</v>
      </c>
      <c r="B57" s="133">
        <f>SUM(B52:B56)</f>
        <v>11369</v>
      </c>
      <c r="C57" s="246">
        <f>SUM(C52:C56)</f>
        <v>10395</v>
      </c>
      <c r="D57" s="133">
        <f t="shared" ref="D57" si="0">SUM(D52:D56)</f>
        <v>166588.68678666861</v>
      </c>
      <c r="E57" s="133">
        <f>SUM(E52:E56)</f>
        <v>161550</v>
      </c>
      <c r="F57" s="299"/>
    </row>
    <row r="58" spans="1:6" ht="15.75" x14ac:dyDescent="0.25">
      <c r="A58" s="26" t="s">
        <v>181</v>
      </c>
      <c r="B58" s="94">
        <v>0</v>
      </c>
      <c r="C58" s="27">
        <v>0</v>
      </c>
      <c r="D58" s="94">
        <v>0</v>
      </c>
      <c r="E58" s="94">
        <v>0</v>
      </c>
    </row>
    <row r="59" spans="1:6" s="9" customFormat="1" ht="15.75" x14ac:dyDescent="0.25">
      <c r="A59" s="25" t="s">
        <v>50</v>
      </c>
      <c r="B59" s="133">
        <f>+B58+B57</f>
        <v>11369</v>
      </c>
      <c r="C59" s="28">
        <f>+C58+C57</f>
        <v>10395</v>
      </c>
      <c r="D59" s="133">
        <f>+D58+D57</f>
        <v>166588.68678666861</v>
      </c>
      <c r="E59" s="133">
        <f>+E58+E57</f>
        <v>161550</v>
      </c>
    </row>
    <row r="60" spans="1:6" s="9" customFormat="1" ht="15.75" x14ac:dyDescent="0.25">
      <c r="A60" s="25" t="s">
        <v>51</v>
      </c>
      <c r="B60" s="133">
        <f>+B59+B50</f>
        <v>53679.255271155002</v>
      </c>
      <c r="C60" s="28">
        <f>+C59+C50</f>
        <v>46474</v>
      </c>
      <c r="D60" s="133">
        <f>+D59+D50</f>
        <v>2623907.7167134285</v>
      </c>
      <c r="E60" s="133">
        <f>+E59+E50</f>
        <v>2607268</v>
      </c>
    </row>
    <row r="61" spans="1:6" ht="15.75" x14ac:dyDescent="0.25">
      <c r="A61" s="25" t="s">
        <v>52</v>
      </c>
      <c r="B61" s="94">
        <f>7065368.17429/1000</f>
        <v>7065.3681742900008</v>
      </c>
      <c r="C61" s="94">
        <v>6282</v>
      </c>
      <c r="D61" s="94">
        <f>661231435556.966/1000000</f>
        <v>661231.435556966</v>
      </c>
      <c r="E61" s="94">
        <v>754772</v>
      </c>
    </row>
    <row r="62" spans="1:6" ht="15.75" x14ac:dyDescent="0.25">
      <c r="A62" s="25" t="s">
        <v>53</v>
      </c>
      <c r="B62" s="94"/>
      <c r="C62" s="94"/>
      <c r="D62" s="94"/>
      <c r="E62" s="94"/>
    </row>
    <row r="63" spans="1:6" ht="15.75" x14ac:dyDescent="0.25">
      <c r="A63" s="26" t="s">
        <v>54</v>
      </c>
      <c r="B63" s="94">
        <v>19</v>
      </c>
      <c r="C63" s="94">
        <v>19</v>
      </c>
      <c r="D63" s="94">
        <v>23848</v>
      </c>
      <c r="E63" s="94">
        <v>24880</v>
      </c>
    </row>
    <row r="64" spans="1:6" ht="15.75" x14ac:dyDescent="0.25">
      <c r="A64" s="26" t="s">
        <v>55</v>
      </c>
      <c r="B64" s="94">
        <v>1</v>
      </c>
      <c r="C64" s="94">
        <v>1</v>
      </c>
      <c r="D64" s="94">
        <v>3223</v>
      </c>
      <c r="E64" s="94">
        <v>3331</v>
      </c>
    </row>
    <row r="65" spans="1:5" x14ac:dyDescent="0.25">
      <c r="A65" s="159" t="s">
        <v>218</v>
      </c>
      <c r="B65" s="8"/>
      <c r="D65" s="240"/>
      <c r="E65" s="144"/>
    </row>
    <row r="66" spans="1:5" ht="15.75" x14ac:dyDescent="0.25">
      <c r="B66" s="7"/>
      <c r="D66" s="273"/>
      <c r="E66" s="14"/>
    </row>
    <row r="67" spans="1:5" ht="15.75" x14ac:dyDescent="0.25">
      <c r="B67" s="7"/>
      <c r="D67" s="273"/>
      <c r="E67" s="14"/>
    </row>
    <row r="68" spans="1:5" ht="15.75" x14ac:dyDescent="0.25">
      <c r="B68" s="7"/>
      <c r="D68" s="273"/>
      <c r="E68" s="14"/>
    </row>
    <row r="69" spans="1:5" ht="15.75" x14ac:dyDescent="0.25">
      <c r="B69" s="7"/>
      <c r="D69" s="273"/>
      <c r="E69" s="14"/>
    </row>
    <row r="70" spans="1:5" x14ac:dyDescent="0.25">
      <c r="B70" s="14"/>
      <c r="D70" s="273"/>
      <c r="E70" s="14"/>
    </row>
    <row r="71" spans="1:5" x14ac:dyDescent="0.25">
      <c r="B71" s="14"/>
      <c r="D71" s="273"/>
      <c r="E71" s="14"/>
    </row>
    <row r="72" spans="1:5" x14ac:dyDescent="0.25">
      <c r="B72" s="14"/>
      <c r="D72" s="273"/>
      <c r="E72" s="14"/>
    </row>
    <row r="73" spans="1:5" x14ac:dyDescent="0.25">
      <c r="B73" s="14"/>
      <c r="D73" s="273"/>
      <c r="E73" s="14"/>
    </row>
    <row r="74" spans="1:5" x14ac:dyDescent="0.25">
      <c r="B74" s="14"/>
      <c r="D74" s="273"/>
      <c r="E74" s="14"/>
    </row>
    <row r="75" spans="1:5" x14ac:dyDescent="0.25">
      <c r="B75" s="14"/>
      <c r="D75" s="273"/>
      <c r="E75" s="14"/>
    </row>
    <row r="76" spans="1:5" x14ac:dyDescent="0.25">
      <c r="B76" s="14"/>
      <c r="D76" s="273"/>
      <c r="E76" s="14"/>
    </row>
    <row r="77" spans="1:5" x14ac:dyDescent="0.25">
      <c r="B77" s="14"/>
      <c r="D77" s="273"/>
      <c r="E77" s="14"/>
    </row>
    <row r="78" spans="1:5" x14ac:dyDescent="0.25">
      <c r="B78" s="14"/>
      <c r="D78" s="273"/>
      <c r="E78" s="14"/>
    </row>
    <row r="79" spans="1:5" x14ac:dyDescent="0.25">
      <c r="B79" s="14"/>
      <c r="D79" s="273"/>
      <c r="E79" s="14"/>
    </row>
  </sheetData>
  <mergeCells count="10">
    <mergeCell ref="B23:B24"/>
    <mergeCell ref="A1:E1"/>
    <mergeCell ref="A2:E2"/>
    <mergeCell ref="A4:E4"/>
    <mergeCell ref="A3:E3"/>
    <mergeCell ref="B5:C5"/>
    <mergeCell ref="D5:E5"/>
    <mergeCell ref="C23:C24"/>
    <mergeCell ref="D23:D24"/>
    <mergeCell ref="E23:E24"/>
  </mergeCells>
  <phoneticPr fontId="0" type="noConversion"/>
  <pageMargins left="0.45" right="0.17" top="0.48" bottom="0.26" header="0.31496062992126" footer="0.17"/>
  <pageSetup paperSize="9" scale="78" orientation="portrait" r:id="rId1"/>
  <rowBreaks count="1" manualBreakCount="1">
    <brk id="65"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64"/>
  <sheetViews>
    <sheetView zoomScaleNormal="100" workbookViewId="0">
      <selection activeCell="I52" sqref="I52"/>
    </sheetView>
  </sheetViews>
  <sheetFormatPr defaultRowHeight="15" x14ac:dyDescent="0.25"/>
  <cols>
    <col min="1" max="1" width="45.7109375" style="1" customWidth="1"/>
    <col min="2" max="2" width="11.5703125" style="1" bestFit="1" customWidth="1"/>
    <col min="3" max="3" width="12" style="1" bestFit="1" customWidth="1"/>
    <col min="4" max="4" width="9.7109375" style="1" bestFit="1" customWidth="1"/>
    <col min="5" max="5" width="14" style="1" bestFit="1" customWidth="1"/>
    <col min="6" max="6" width="8.28515625" style="1" bestFit="1" customWidth="1"/>
    <col min="7" max="7" width="12.85546875" style="1" bestFit="1" customWidth="1"/>
    <col min="8" max="8" width="12.28515625" style="1" bestFit="1" customWidth="1"/>
    <col min="9" max="9" width="12.85546875" style="1" bestFit="1" customWidth="1"/>
    <col min="10" max="10" width="9.85546875" style="1" bestFit="1" customWidth="1"/>
    <col min="11" max="11" width="11.7109375" style="1" bestFit="1" customWidth="1"/>
    <col min="12" max="12" width="12.85546875" style="1" bestFit="1" customWidth="1"/>
    <col min="13" max="13" width="12.28515625" style="1" bestFit="1" customWidth="1"/>
    <col min="14" max="16384" width="9.140625" style="1"/>
  </cols>
  <sheetData>
    <row r="1" spans="1:19" ht="15.75" x14ac:dyDescent="0.25">
      <c r="A1" s="305" t="s">
        <v>21</v>
      </c>
      <c r="B1" s="306"/>
      <c r="C1" s="306"/>
      <c r="D1" s="306"/>
      <c r="E1" s="306"/>
      <c r="F1" s="306"/>
      <c r="G1" s="306"/>
      <c r="H1" s="306"/>
      <c r="I1" s="306"/>
      <c r="J1" s="306"/>
      <c r="K1" s="306"/>
      <c r="L1" s="307"/>
    </row>
    <row r="2" spans="1:19" ht="15.75" x14ac:dyDescent="0.25">
      <c r="A2" s="308" t="s">
        <v>56</v>
      </c>
      <c r="B2" s="309"/>
      <c r="C2" s="309"/>
      <c r="D2" s="309"/>
      <c r="E2" s="309"/>
      <c r="F2" s="309"/>
      <c r="G2" s="309"/>
      <c r="H2" s="309"/>
      <c r="I2" s="309"/>
      <c r="J2" s="309"/>
      <c r="K2" s="309"/>
      <c r="L2" s="310"/>
      <c r="M2" s="55"/>
      <c r="N2" s="55"/>
      <c r="O2" s="55"/>
      <c r="P2" s="55"/>
      <c r="Q2" s="55"/>
      <c r="R2" s="55"/>
      <c r="S2" s="55"/>
    </row>
    <row r="3" spans="1:19" ht="15.75" x14ac:dyDescent="0.25">
      <c r="A3" s="308" t="s">
        <v>349</v>
      </c>
      <c r="B3" s="309"/>
      <c r="C3" s="309"/>
      <c r="D3" s="309"/>
      <c r="E3" s="309"/>
      <c r="F3" s="309"/>
      <c r="G3" s="309"/>
      <c r="H3" s="309"/>
      <c r="I3" s="309"/>
      <c r="J3" s="309"/>
      <c r="K3" s="309"/>
      <c r="L3" s="310"/>
      <c r="M3" s="55"/>
      <c r="N3" s="55"/>
      <c r="O3" s="55"/>
      <c r="P3" s="55"/>
      <c r="Q3" s="55"/>
      <c r="R3" s="55"/>
      <c r="S3" s="55"/>
    </row>
    <row r="4" spans="1:19" ht="15.75" x14ac:dyDescent="0.25">
      <c r="A4" s="311"/>
      <c r="B4" s="312"/>
      <c r="C4" s="312"/>
      <c r="D4" s="312"/>
      <c r="E4" s="312"/>
      <c r="F4" s="312"/>
      <c r="G4" s="312"/>
      <c r="H4" s="312"/>
      <c r="I4" s="312"/>
      <c r="J4" s="312"/>
      <c r="K4" s="312"/>
      <c r="L4" s="313"/>
      <c r="M4" s="54"/>
      <c r="N4" s="54"/>
      <c r="O4" s="54"/>
      <c r="P4" s="54"/>
      <c r="Q4" s="54"/>
      <c r="R4" s="54"/>
      <c r="S4" s="54"/>
    </row>
    <row r="5" spans="1:19" ht="37.5" customHeight="1" x14ac:dyDescent="0.25">
      <c r="A5" s="137" t="s">
        <v>16</v>
      </c>
      <c r="B5" s="135"/>
      <c r="C5" s="135"/>
      <c r="D5" s="135"/>
      <c r="E5" s="135"/>
      <c r="F5" s="135"/>
      <c r="G5" s="135"/>
      <c r="H5" s="135"/>
      <c r="I5" s="135"/>
      <c r="J5" s="135"/>
      <c r="K5" s="135"/>
      <c r="L5" s="136"/>
    </row>
    <row r="6" spans="1:19" ht="15.75" x14ac:dyDescent="0.25">
      <c r="A6" s="50"/>
      <c r="B6" s="333" t="s">
        <v>327</v>
      </c>
      <c r="C6" s="334"/>
      <c r="D6" s="335"/>
      <c r="E6" s="333" t="s">
        <v>75</v>
      </c>
      <c r="F6" s="334"/>
      <c r="G6" s="334"/>
      <c r="H6" s="334"/>
      <c r="I6" s="335"/>
      <c r="J6" s="56"/>
      <c r="K6" s="60"/>
      <c r="L6" s="56"/>
    </row>
    <row r="7" spans="1:19" ht="31.5" x14ac:dyDescent="0.25">
      <c r="A7" s="51" t="s">
        <v>219</v>
      </c>
      <c r="B7" s="56" t="s">
        <v>69</v>
      </c>
      <c r="C7" s="56" t="s">
        <v>69</v>
      </c>
      <c r="D7" s="56" t="s">
        <v>73</v>
      </c>
      <c r="E7" s="338" t="s">
        <v>225</v>
      </c>
      <c r="F7" s="61" t="s">
        <v>226</v>
      </c>
      <c r="G7" s="57" t="s">
        <v>76</v>
      </c>
      <c r="H7" s="57" t="s">
        <v>78</v>
      </c>
      <c r="I7" s="57" t="s">
        <v>80</v>
      </c>
      <c r="J7" s="57" t="s">
        <v>82</v>
      </c>
      <c r="K7" s="61" t="s">
        <v>122</v>
      </c>
      <c r="L7" s="57" t="s">
        <v>50</v>
      </c>
    </row>
    <row r="8" spans="1:19" ht="15.75" x14ac:dyDescent="0.25">
      <c r="A8" s="52"/>
      <c r="B8" s="57" t="s">
        <v>70</v>
      </c>
      <c r="C8" s="57" t="s">
        <v>72</v>
      </c>
      <c r="D8" s="57" t="s">
        <v>74</v>
      </c>
      <c r="E8" s="338"/>
      <c r="F8" s="61" t="s">
        <v>77</v>
      </c>
      <c r="G8" s="57" t="s">
        <v>77</v>
      </c>
      <c r="H8" s="57" t="s">
        <v>79</v>
      </c>
      <c r="I8" s="57" t="s">
        <v>81</v>
      </c>
      <c r="J8" s="57"/>
      <c r="K8" s="57" t="s">
        <v>83</v>
      </c>
      <c r="L8" s="57"/>
    </row>
    <row r="9" spans="1:19" ht="15.75" x14ac:dyDescent="0.25">
      <c r="A9" s="30"/>
      <c r="B9" s="58" t="s">
        <v>71</v>
      </c>
      <c r="C9" s="58" t="s">
        <v>71</v>
      </c>
      <c r="D9" s="58"/>
      <c r="E9" s="339"/>
      <c r="F9" s="162"/>
      <c r="G9" s="58"/>
      <c r="H9" s="58"/>
      <c r="I9" s="58"/>
      <c r="J9" s="58"/>
      <c r="K9" s="58"/>
      <c r="L9" s="58"/>
    </row>
    <row r="10" spans="1:19" ht="15.75" x14ac:dyDescent="0.25">
      <c r="A10" s="25" t="s">
        <v>343</v>
      </c>
      <c r="B10" s="256">
        <v>0</v>
      </c>
      <c r="C10" s="256">
        <v>0</v>
      </c>
      <c r="D10" s="256">
        <v>2289</v>
      </c>
      <c r="E10" s="265">
        <v>380</v>
      </c>
      <c r="F10" s="257">
        <v>515</v>
      </c>
      <c r="G10" s="256">
        <v>58</v>
      </c>
      <c r="H10" s="256">
        <v>6893</v>
      </c>
      <c r="I10" s="256">
        <v>344</v>
      </c>
      <c r="J10" s="256">
        <f>SUM(B10:I10)</f>
        <v>10479</v>
      </c>
      <c r="K10" s="256">
        <v>0</v>
      </c>
      <c r="L10" s="256">
        <v>10479</v>
      </c>
      <c r="M10" s="111"/>
    </row>
    <row r="11" spans="1:19" ht="15.75" x14ac:dyDescent="0.25">
      <c r="A11" s="48" t="s">
        <v>57</v>
      </c>
      <c r="B11" s="258"/>
      <c r="C11" s="258"/>
      <c r="D11" s="258"/>
      <c r="E11" s="259"/>
      <c r="F11" s="259"/>
      <c r="G11" s="258"/>
      <c r="H11" s="258"/>
      <c r="I11" s="258"/>
      <c r="J11" s="256"/>
      <c r="K11" s="258"/>
      <c r="L11" s="256"/>
    </row>
    <row r="12" spans="1:19" ht="15.75" x14ac:dyDescent="0.25">
      <c r="A12" s="49" t="s">
        <v>222</v>
      </c>
      <c r="B12" s="258">
        <v>0</v>
      </c>
      <c r="C12" s="258">
        <v>0</v>
      </c>
      <c r="D12" s="258">
        <v>0</v>
      </c>
      <c r="E12" s="259">
        <v>0</v>
      </c>
      <c r="F12" s="283">
        <v>0</v>
      </c>
      <c r="G12" s="284">
        <v>0</v>
      </c>
      <c r="H12" s="284">
        <f>+'INCOME-I'!C42</f>
        <v>947.2</v>
      </c>
      <c r="I12" s="258">
        <v>0</v>
      </c>
      <c r="J12" s="256">
        <f>SUM(B12:I12)</f>
        <v>947.2</v>
      </c>
      <c r="K12" s="258">
        <v>0</v>
      </c>
      <c r="L12" s="256">
        <f>SUM(J12:K12)</f>
        <v>947.2</v>
      </c>
    </row>
    <row r="13" spans="1:19" ht="15.75" x14ac:dyDescent="0.25">
      <c r="A13" s="49" t="s">
        <v>58</v>
      </c>
      <c r="B13" s="258">
        <v>0</v>
      </c>
      <c r="C13" s="258">
        <v>0</v>
      </c>
      <c r="D13" s="258">
        <v>0</v>
      </c>
      <c r="E13" s="259">
        <v>0</v>
      </c>
      <c r="F13" s="283">
        <f>+'INCOME-II'!B34</f>
        <v>-57</v>
      </c>
      <c r="G13" s="284">
        <v>0</v>
      </c>
      <c r="H13" s="284">
        <v>0</v>
      </c>
      <c r="I13" s="258">
        <v>0</v>
      </c>
      <c r="J13" s="256">
        <f>SUM(B13:I13)</f>
        <v>-57</v>
      </c>
      <c r="K13" s="258">
        <v>0</v>
      </c>
      <c r="L13" s="256">
        <f>SUM(J13:K13)</f>
        <v>-57</v>
      </c>
    </row>
    <row r="14" spans="1:19" ht="15.75" x14ac:dyDescent="0.25">
      <c r="A14" s="25" t="s">
        <v>57</v>
      </c>
      <c r="B14" s="250">
        <f t="shared" ref="B14:I14" si="0">+B10+B12+B13</f>
        <v>0</v>
      </c>
      <c r="C14" s="250">
        <f t="shared" si="0"/>
        <v>0</v>
      </c>
      <c r="D14" s="250">
        <v>2289</v>
      </c>
      <c r="E14" s="250">
        <f t="shared" si="0"/>
        <v>380</v>
      </c>
      <c r="F14" s="250">
        <f t="shared" si="0"/>
        <v>458</v>
      </c>
      <c r="G14" s="250">
        <f t="shared" si="0"/>
        <v>58</v>
      </c>
      <c r="H14" s="250">
        <f t="shared" si="0"/>
        <v>7840.2</v>
      </c>
      <c r="I14" s="250">
        <f t="shared" si="0"/>
        <v>344</v>
      </c>
      <c r="J14" s="256">
        <f>SUM(B14:I14)</f>
        <v>11369.2</v>
      </c>
      <c r="K14" s="250">
        <f>+K10+K12+K13</f>
        <v>0</v>
      </c>
      <c r="L14" s="256">
        <f>SUM(J14:K14)</f>
        <v>11369.2</v>
      </c>
    </row>
    <row r="15" spans="1:19" ht="15.75" x14ac:dyDescent="0.25">
      <c r="A15" s="5"/>
      <c r="B15" s="249"/>
      <c r="C15" s="249"/>
      <c r="D15" s="249"/>
      <c r="E15" s="249"/>
      <c r="F15" s="249"/>
      <c r="G15" s="249"/>
      <c r="H15" s="249"/>
      <c r="I15" s="249"/>
      <c r="J15" s="250"/>
      <c r="K15" s="249"/>
      <c r="L15" s="250"/>
    </row>
    <row r="16" spans="1:19" ht="15.75" x14ac:dyDescent="0.25">
      <c r="A16" s="160" t="s">
        <v>220</v>
      </c>
      <c r="B16" s="260"/>
      <c r="C16" s="260"/>
      <c r="D16" s="260"/>
      <c r="E16" s="261"/>
      <c r="F16" s="261"/>
      <c r="G16" s="260"/>
      <c r="H16" s="260"/>
      <c r="I16" s="260"/>
      <c r="J16" s="262"/>
      <c r="K16" s="260"/>
      <c r="L16" s="262"/>
    </row>
    <row r="17" spans="1:15" ht="15.75" x14ac:dyDescent="0.25">
      <c r="A17" s="149" t="s">
        <v>221</v>
      </c>
      <c r="B17" s="251"/>
      <c r="C17" s="251"/>
      <c r="D17" s="251"/>
      <c r="E17" s="251"/>
      <c r="F17" s="251"/>
      <c r="G17" s="251"/>
      <c r="H17" s="251"/>
      <c r="I17" s="251"/>
      <c r="J17" s="263"/>
      <c r="K17" s="251"/>
      <c r="L17" s="263"/>
    </row>
    <row r="18" spans="1:15" ht="15.75" x14ac:dyDescent="0.25">
      <c r="A18" s="26" t="s">
        <v>59</v>
      </c>
      <c r="B18" s="249">
        <v>0</v>
      </c>
      <c r="C18" s="249">
        <v>0</v>
      </c>
      <c r="D18" s="249">
        <v>0</v>
      </c>
      <c r="E18" s="264">
        <v>0</v>
      </c>
      <c r="F18" s="264">
        <v>0</v>
      </c>
      <c r="G18" s="249">
        <v>0</v>
      </c>
      <c r="H18" s="249">
        <v>0</v>
      </c>
      <c r="I18" s="249">
        <v>0</v>
      </c>
      <c r="J18" s="256">
        <f t="shared" ref="J18:J27" si="1">SUM(B18:I18)</f>
        <v>0</v>
      </c>
      <c r="K18" s="249">
        <v>0</v>
      </c>
      <c r="L18" s="256">
        <f t="shared" ref="L18:L24" si="2">SUM(J18:K18)</f>
        <v>0</v>
      </c>
      <c r="O18" s="111"/>
    </row>
    <row r="19" spans="1:15" ht="15.75" x14ac:dyDescent="0.25">
      <c r="A19" s="26" t="s">
        <v>60</v>
      </c>
      <c r="B19" s="249">
        <v>0</v>
      </c>
      <c r="C19" s="249">
        <v>0</v>
      </c>
      <c r="D19" s="249">
        <v>0</v>
      </c>
      <c r="E19" s="264">
        <v>0</v>
      </c>
      <c r="F19" s="264">
        <v>0</v>
      </c>
      <c r="G19" s="249">
        <v>0</v>
      </c>
      <c r="H19" s="249">
        <v>0</v>
      </c>
      <c r="I19" s="249">
        <v>0</v>
      </c>
      <c r="J19" s="256">
        <f t="shared" si="1"/>
        <v>0</v>
      </c>
      <c r="K19" s="249">
        <v>0</v>
      </c>
      <c r="L19" s="256">
        <f t="shared" si="2"/>
        <v>0</v>
      </c>
    </row>
    <row r="20" spans="1:15" ht="15.75" x14ac:dyDescent="0.25">
      <c r="A20" s="26" t="s">
        <v>61</v>
      </c>
      <c r="B20" s="249">
        <v>0</v>
      </c>
      <c r="C20" s="249">
        <v>0</v>
      </c>
      <c r="D20" s="249">
        <v>0</v>
      </c>
      <c r="E20" s="264">
        <v>0</v>
      </c>
      <c r="F20" s="264">
        <v>0</v>
      </c>
      <c r="G20" s="249">
        <v>0</v>
      </c>
      <c r="H20" s="249">
        <v>0</v>
      </c>
      <c r="I20" s="249">
        <v>0</v>
      </c>
      <c r="J20" s="256">
        <f t="shared" si="1"/>
        <v>0</v>
      </c>
      <c r="K20" s="249">
        <v>0</v>
      </c>
      <c r="L20" s="256">
        <f t="shared" si="2"/>
        <v>0</v>
      </c>
    </row>
    <row r="21" spans="1:15" ht="15.75" x14ac:dyDescent="0.25">
      <c r="A21" s="26" t="s">
        <v>62</v>
      </c>
      <c r="B21" s="249">
        <v>0</v>
      </c>
      <c r="C21" s="249">
        <v>0</v>
      </c>
      <c r="D21" s="249">
        <v>0</v>
      </c>
      <c r="E21" s="264">
        <v>0</v>
      </c>
      <c r="F21" s="264">
        <v>0</v>
      </c>
      <c r="G21" s="249">
        <v>0</v>
      </c>
      <c r="H21" s="249">
        <v>0</v>
      </c>
      <c r="I21" s="249">
        <v>0</v>
      </c>
      <c r="J21" s="256">
        <f t="shared" si="1"/>
        <v>0</v>
      </c>
      <c r="K21" s="249">
        <v>0</v>
      </c>
      <c r="L21" s="256">
        <f t="shared" si="2"/>
        <v>0</v>
      </c>
    </row>
    <row r="22" spans="1:15" ht="15.75" x14ac:dyDescent="0.25">
      <c r="A22" s="26" t="s">
        <v>223</v>
      </c>
      <c r="B22" s="249">
        <v>0</v>
      </c>
      <c r="C22" s="249">
        <v>0</v>
      </c>
      <c r="D22" s="249">
        <v>0</v>
      </c>
      <c r="E22" s="264">
        <v>0</v>
      </c>
      <c r="F22" s="264">
        <v>0</v>
      </c>
      <c r="G22" s="249">
        <v>0</v>
      </c>
      <c r="H22" s="249">
        <f>-E22</f>
        <v>0</v>
      </c>
      <c r="I22" s="249">
        <v>0</v>
      </c>
      <c r="J22" s="256">
        <f t="shared" si="1"/>
        <v>0</v>
      </c>
      <c r="K22" s="249"/>
      <c r="L22" s="256">
        <f t="shared" si="2"/>
        <v>0</v>
      </c>
      <c r="M22" s="111"/>
    </row>
    <row r="23" spans="1:15" ht="15.75" x14ac:dyDescent="0.25">
      <c r="A23" s="26" t="s">
        <v>63</v>
      </c>
      <c r="B23" s="249">
        <v>0</v>
      </c>
      <c r="C23" s="249">
        <v>0</v>
      </c>
      <c r="D23" s="249">
        <v>0</v>
      </c>
      <c r="E23" s="264">
        <v>0</v>
      </c>
      <c r="F23" s="264">
        <v>0</v>
      </c>
      <c r="G23" s="249">
        <v>0</v>
      </c>
      <c r="H23" s="249">
        <v>0</v>
      </c>
      <c r="I23" s="249">
        <v>0</v>
      </c>
      <c r="J23" s="256">
        <f t="shared" si="1"/>
        <v>0</v>
      </c>
      <c r="K23" s="249">
        <v>0</v>
      </c>
      <c r="L23" s="256">
        <f t="shared" si="2"/>
        <v>0</v>
      </c>
    </row>
    <row r="24" spans="1:15" ht="15.75" x14ac:dyDescent="0.25">
      <c r="A24" s="26" t="s">
        <v>64</v>
      </c>
      <c r="B24" s="249">
        <v>0</v>
      </c>
      <c r="C24" s="249">
        <v>0</v>
      </c>
      <c r="D24" s="249">
        <v>0</v>
      </c>
      <c r="E24" s="264">
        <v>0</v>
      </c>
      <c r="F24" s="264">
        <v>0</v>
      </c>
      <c r="G24" s="249">
        <v>0</v>
      </c>
      <c r="H24" s="249">
        <v>0</v>
      </c>
      <c r="I24" s="249">
        <v>0</v>
      </c>
      <c r="J24" s="256">
        <f t="shared" si="1"/>
        <v>0</v>
      </c>
      <c r="K24" s="249">
        <v>0</v>
      </c>
      <c r="L24" s="256">
        <f t="shared" si="2"/>
        <v>0</v>
      </c>
    </row>
    <row r="25" spans="1:15" ht="15.75" x14ac:dyDescent="0.25">
      <c r="A25" s="6" t="s">
        <v>65</v>
      </c>
      <c r="B25" s="340">
        <v>0</v>
      </c>
      <c r="C25" s="340">
        <v>0</v>
      </c>
      <c r="D25" s="340">
        <v>0</v>
      </c>
      <c r="E25" s="340">
        <v>0</v>
      </c>
      <c r="F25" s="340">
        <v>0</v>
      </c>
      <c r="G25" s="346">
        <v>0</v>
      </c>
      <c r="H25" s="340">
        <v>0</v>
      </c>
      <c r="I25" s="340">
        <v>0</v>
      </c>
      <c r="J25" s="344">
        <f t="shared" si="1"/>
        <v>0</v>
      </c>
      <c r="K25" s="346">
        <v>0</v>
      </c>
      <c r="L25" s="344">
        <f>SUM(J25:K25)</f>
        <v>0</v>
      </c>
    </row>
    <row r="26" spans="1:15" ht="15.75" x14ac:dyDescent="0.25">
      <c r="A26" s="153" t="s">
        <v>66</v>
      </c>
      <c r="B26" s="341"/>
      <c r="C26" s="341"/>
      <c r="D26" s="341"/>
      <c r="E26" s="341"/>
      <c r="F26" s="341"/>
      <c r="G26" s="347"/>
      <c r="H26" s="341"/>
      <c r="I26" s="341"/>
      <c r="J26" s="345"/>
      <c r="K26" s="347"/>
      <c r="L26" s="345"/>
    </row>
    <row r="27" spans="1:15" ht="15.75" x14ac:dyDescent="0.25">
      <c r="A27" s="6" t="s">
        <v>67</v>
      </c>
      <c r="B27" s="249">
        <v>0</v>
      </c>
      <c r="C27" s="249">
        <v>0</v>
      </c>
      <c r="D27" s="249">
        <v>0</v>
      </c>
      <c r="E27" s="264">
        <v>0</v>
      </c>
      <c r="F27" s="264">
        <v>0</v>
      </c>
      <c r="G27" s="249">
        <v>0</v>
      </c>
      <c r="H27" s="249">
        <v>0</v>
      </c>
      <c r="I27" s="249">
        <v>0</v>
      </c>
      <c r="J27" s="256">
        <f t="shared" si="1"/>
        <v>0</v>
      </c>
      <c r="K27" s="249">
        <v>0</v>
      </c>
      <c r="L27" s="256">
        <f>SUM(J27:K27)</f>
        <v>0</v>
      </c>
    </row>
    <row r="28" spans="1:15" ht="15.75" x14ac:dyDescent="0.25">
      <c r="A28" s="25" t="s">
        <v>68</v>
      </c>
      <c r="B28" s="250">
        <f>SUM(B18:B27)</f>
        <v>0</v>
      </c>
      <c r="C28" s="250">
        <f t="shared" ref="C28:H28" si="3">SUM(C18:C27)</f>
        <v>0</v>
      </c>
      <c r="D28" s="250">
        <f t="shared" si="3"/>
        <v>0</v>
      </c>
      <c r="E28" s="250">
        <f t="shared" si="3"/>
        <v>0</v>
      </c>
      <c r="F28" s="250">
        <f t="shared" si="3"/>
        <v>0</v>
      </c>
      <c r="G28" s="250">
        <f t="shared" si="3"/>
        <v>0</v>
      </c>
      <c r="H28" s="250">
        <f t="shared" si="3"/>
        <v>0</v>
      </c>
      <c r="I28" s="250">
        <f>SUM(I18:I27)</f>
        <v>0</v>
      </c>
      <c r="J28" s="256">
        <f>SUM(B28:I28)</f>
        <v>0</v>
      </c>
      <c r="K28" s="249">
        <v>0</v>
      </c>
      <c r="L28" s="256">
        <f>SUM(J28:K28)</f>
        <v>0</v>
      </c>
    </row>
    <row r="29" spans="1:15" ht="15.75" x14ac:dyDescent="0.25">
      <c r="A29" s="25" t="s">
        <v>352</v>
      </c>
      <c r="B29" s="250">
        <f>+B14+B28</f>
        <v>0</v>
      </c>
      <c r="C29" s="250">
        <f t="shared" ref="C29:H29" si="4">+C14+C28</f>
        <v>0</v>
      </c>
      <c r="D29" s="250">
        <f t="shared" si="4"/>
        <v>2289</v>
      </c>
      <c r="E29" s="250">
        <f t="shared" si="4"/>
        <v>380</v>
      </c>
      <c r="F29" s="250">
        <f t="shared" si="4"/>
        <v>458</v>
      </c>
      <c r="G29" s="250">
        <f t="shared" si="4"/>
        <v>58</v>
      </c>
      <c r="H29" s="250">
        <f t="shared" si="4"/>
        <v>7840.2</v>
      </c>
      <c r="I29" s="250">
        <f>+I14+I28</f>
        <v>344</v>
      </c>
      <c r="J29" s="256">
        <f>SUM(B29:I29)</f>
        <v>11369.2</v>
      </c>
      <c r="K29" s="250">
        <f>+K14+K28</f>
        <v>0</v>
      </c>
      <c r="L29" s="250">
        <f>+L14+L28</f>
        <v>11369.2</v>
      </c>
    </row>
    <row r="30" spans="1:15" s="62" customFormat="1" ht="15.75" x14ac:dyDescent="0.25">
      <c r="A30" s="51"/>
      <c r="B30" s="76"/>
      <c r="C30" s="76"/>
      <c r="D30" s="76"/>
      <c r="E30" s="76"/>
      <c r="F30" s="76"/>
      <c r="G30" s="76"/>
      <c r="H30" s="76"/>
      <c r="I30" s="76"/>
      <c r="J30" s="76"/>
      <c r="K30" s="76"/>
      <c r="L30" s="76"/>
    </row>
    <row r="31" spans="1:15" s="62" customFormat="1" ht="15.75" x14ac:dyDescent="0.25">
      <c r="A31" s="51"/>
      <c r="B31" s="76"/>
      <c r="C31" s="76"/>
      <c r="D31" s="76"/>
      <c r="E31" s="76"/>
      <c r="F31" s="76"/>
      <c r="G31" s="76"/>
      <c r="H31" s="76"/>
      <c r="I31" s="76"/>
      <c r="J31" s="76"/>
      <c r="K31" s="76"/>
      <c r="L31" s="76"/>
    </row>
    <row r="32" spans="1:15" s="62" customFormat="1" x14ac:dyDescent="0.25">
      <c r="B32" s="63"/>
      <c r="C32" s="63"/>
      <c r="D32" s="63"/>
      <c r="E32" s="63"/>
      <c r="F32" s="63"/>
      <c r="G32" s="63"/>
      <c r="H32" s="63"/>
      <c r="I32" s="63"/>
      <c r="J32" s="63"/>
      <c r="K32" s="63"/>
      <c r="L32" s="63"/>
    </row>
    <row r="33" spans="1:13" ht="15.75" x14ac:dyDescent="0.25">
      <c r="A33" s="336" t="s">
        <v>101</v>
      </c>
      <c r="B33" s="138"/>
      <c r="C33" s="138"/>
      <c r="D33" s="138"/>
      <c r="E33" s="138"/>
      <c r="F33" s="138"/>
      <c r="G33" s="138"/>
      <c r="H33" s="138"/>
      <c r="I33" s="138"/>
      <c r="J33" s="138"/>
      <c r="K33" s="138"/>
      <c r="L33" s="139"/>
    </row>
    <row r="34" spans="1:13" ht="22.5" customHeight="1" x14ac:dyDescent="0.25">
      <c r="A34" s="337"/>
      <c r="B34" s="140"/>
      <c r="C34" s="140"/>
      <c r="D34" s="140"/>
      <c r="E34" s="140"/>
      <c r="F34" s="140"/>
      <c r="G34" s="140"/>
      <c r="H34" s="140"/>
      <c r="I34" s="140"/>
      <c r="J34" s="140"/>
      <c r="K34" s="140"/>
      <c r="L34" s="141"/>
    </row>
    <row r="35" spans="1:13" ht="15.75" x14ac:dyDescent="0.25">
      <c r="A35" s="50"/>
      <c r="B35" s="330" t="s">
        <v>327</v>
      </c>
      <c r="C35" s="331"/>
      <c r="D35" s="332"/>
      <c r="E35" s="330" t="s">
        <v>75</v>
      </c>
      <c r="F35" s="331"/>
      <c r="G35" s="331"/>
      <c r="H35" s="332"/>
      <c r="I35" s="59"/>
      <c r="J35" s="56"/>
      <c r="K35" s="60"/>
      <c r="L35" s="56"/>
    </row>
    <row r="36" spans="1:13" ht="31.5" x14ac:dyDescent="0.25">
      <c r="A36" s="121" t="s">
        <v>224</v>
      </c>
      <c r="B36" s="56" t="s">
        <v>69</v>
      </c>
      <c r="C36" s="56" t="s">
        <v>69</v>
      </c>
      <c r="D36" s="56" t="s">
        <v>73</v>
      </c>
      <c r="E36" s="338" t="s">
        <v>225</v>
      </c>
      <c r="F36" s="61" t="s">
        <v>226</v>
      </c>
      <c r="G36" s="57" t="s">
        <v>76</v>
      </c>
      <c r="H36" s="57" t="s">
        <v>78</v>
      </c>
      <c r="I36" s="57" t="s">
        <v>80</v>
      </c>
      <c r="J36" s="57" t="s">
        <v>82</v>
      </c>
      <c r="K36" s="61" t="s">
        <v>122</v>
      </c>
      <c r="L36" s="57" t="s">
        <v>50</v>
      </c>
    </row>
    <row r="37" spans="1:13" ht="15.75" customHeight="1" x14ac:dyDescent="0.25">
      <c r="A37" s="52"/>
      <c r="B37" s="57" t="s">
        <v>70</v>
      </c>
      <c r="C37" s="57" t="s">
        <v>72</v>
      </c>
      <c r="D37" s="57" t="s">
        <v>74</v>
      </c>
      <c r="E37" s="338"/>
      <c r="F37" s="61" t="s">
        <v>77</v>
      </c>
      <c r="G37" s="57" t="s">
        <v>77</v>
      </c>
      <c r="H37" s="57" t="s">
        <v>79</v>
      </c>
      <c r="I37" s="57" t="s">
        <v>81</v>
      </c>
      <c r="J37" s="57"/>
      <c r="K37" s="57" t="s">
        <v>83</v>
      </c>
      <c r="L37" s="57"/>
    </row>
    <row r="38" spans="1:13" ht="15.75" x14ac:dyDescent="0.25">
      <c r="A38" s="30"/>
      <c r="B38" s="58" t="s">
        <v>71</v>
      </c>
      <c r="C38" s="58" t="s">
        <v>71</v>
      </c>
      <c r="D38" s="58"/>
      <c r="E38" s="339"/>
      <c r="F38" s="162"/>
      <c r="G38" s="58"/>
      <c r="H38" s="58"/>
      <c r="I38" s="58"/>
      <c r="J38" s="58"/>
      <c r="K38" s="58"/>
      <c r="L38" s="58"/>
    </row>
    <row r="39" spans="1:13" s="9" customFormat="1" ht="15.75" x14ac:dyDescent="0.25">
      <c r="A39" s="25" t="s">
        <v>343</v>
      </c>
      <c r="B39" s="107">
        <v>164370</v>
      </c>
      <c r="C39" s="107">
        <v>0</v>
      </c>
      <c r="D39" s="107">
        <v>0</v>
      </c>
      <c r="E39" s="107">
        <v>29268</v>
      </c>
      <c r="F39" s="107">
        <v>0</v>
      </c>
      <c r="G39" s="107">
        <v>23313</v>
      </c>
      <c r="H39" s="107">
        <v>-189771</v>
      </c>
      <c r="I39" s="107">
        <v>134370</v>
      </c>
      <c r="J39" s="107">
        <f>SUM(B39:I39)</f>
        <v>161550</v>
      </c>
      <c r="K39" s="107">
        <v>0</v>
      </c>
      <c r="L39" s="107">
        <f>SUM(J39:K39)</f>
        <v>161550</v>
      </c>
      <c r="M39" s="203"/>
    </row>
    <row r="40" spans="1:13" s="9" customFormat="1" ht="15.75" x14ac:dyDescent="0.25">
      <c r="A40" s="48" t="s">
        <v>57</v>
      </c>
      <c r="B40" s="246"/>
      <c r="C40" s="246"/>
      <c r="D40" s="246"/>
      <c r="E40" s="246"/>
      <c r="F40" s="246"/>
      <c r="G40" s="246"/>
      <c r="H40" s="246"/>
      <c r="I40" s="246"/>
      <c r="J40" s="246"/>
      <c r="K40" s="246"/>
      <c r="L40" s="246"/>
    </row>
    <row r="41" spans="1:13" ht="15.75" x14ac:dyDescent="0.25">
      <c r="A41" s="49" t="s">
        <v>222</v>
      </c>
      <c r="B41" s="275">
        <v>0</v>
      </c>
      <c r="C41" s="275">
        <v>0</v>
      </c>
      <c r="D41" s="275">
        <v>0</v>
      </c>
      <c r="E41" s="275">
        <v>0</v>
      </c>
      <c r="F41" s="275">
        <v>0</v>
      </c>
      <c r="G41" s="275">
        <v>0</v>
      </c>
      <c r="H41" s="275">
        <v>4817</v>
      </c>
      <c r="I41" s="275">
        <v>0</v>
      </c>
      <c r="J41" s="246">
        <f>SUM(B41:I41)</f>
        <v>4817</v>
      </c>
      <c r="K41" s="275">
        <v>0</v>
      </c>
      <c r="L41" s="246">
        <f>SUM(J41:K41)</f>
        <v>4817</v>
      </c>
    </row>
    <row r="42" spans="1:13" ht="15.75" x14ac:dyDescent="0.25">
      <c r="A42" s="49" t="s">
        <v>58</v>
      </c>
      <c r="B42" s="275">
        <v>0</v>
      </c>
      <c r="C42" s="275">
        <v>0</v>
      </c>
      <c r="D42" s="275">
        <v>0</v>
      </c>
      <c r="E42" s="275">
        <v>0</v>
      </c>
      <c r="F42" s="275">
        <v>0</v>
      </c>
      <c r="G42" s="275">
        <v>0</v>
      </c>
      <c r="H42" s="275">
        <v>0</v>
      </c>
      <c r="I42" s="275">
        <v>0</v>
      </c>
      <c r="J42" s="246">
        <f>SUM(B42:I42)</f>
        <v>0</v>
      </c>
      <c r="K42" s="275">
        <v>0</v>
      </c>
      <c r="L42" s="246">
        <f>SUM(J42:K42)</f>
        <v>0</v>
      </c>
    </row>
    <row r="43" spans="1:13" s="9" customFormat="1" ht="15.75" x14ac:dyDescent="0.25">
      <c r="A43" s="25" t="s">
        <v>57</v>
      </c>
      <c r="B43" s="107">
        <f>B39</f>
        <v>164370</v>
      </c>
      <c r="C43" s="107">
        <f>+C40+C41+C42</f>
        <v>0</v>
      </c>
      <c r="D43" s="107">
        <f>+D40+D41+D42</f>
        <v>0</v>
      </c>
      <c r="E43" s="107">
        <f>E39</f>
        <v>29268</v>
      </c>
      <c r="F43" s="107">
        <f>F39</f>
        <v>0</v>
      </c>
      <c r="G43" s="107">
        <f>G39</f>
        <v>23313</v>
      </c>
      <c r="H43" s="107">
        <f>SUM(H39:H42)</f>
        <v>-184954</v>
      </c>
      <c r="I43" s="107">
        <f>I39</f>
        <v>134370</v>
      </c>
      <c r="J43" s="107">
        <f>SUM(B43:I43)</f>
        <v>166367</v>
      </c>
      <c r="K43" s="107">
        <f>+K40+K41+K42</f>
        <v>0</v>
      </c>
      <c r="L43" s="107">
        <f>SUM(J43:K43)</f>
        <v>166367</v>
      </c>
    </row>
    <row r="44" spans="1:13" ht="15.75" x14ac:dyDescent="0.25">
      <c r="A44" s="26"/>
      <c r="B44" s="97"/>
      <c r="C44" s="97"/>
      <c r="D44" s="97"/>
      <c r="E44" s="97"/>
      <c r="F44" s="97"/>
      <c r="G44" s="97"/>
      <c r="H44" s="97"/>
      <c r="I44" s="97"/>
      <c r="J44" s="97"/>
      <c r="K44" s="97"/>
      <c r="L44" s="97"/>
    </row>
    <row r="45" spans="1:13" s="9" customFormat="1" ht="15.75" x14ac:dyDescent="0.25">
      <c r="A45" s="160" t="s">
        <v>220</v>
      </c>
      <c r="B45" s="155"/>
      <c r="C45" s="155"/>
      <c r="D45" s="155"/>
      <c r="E45" s="161"/>
      <c r="F45" s="161"/>
      <c r="G45" s="155"/>
      <c r="H45" s="155"/>
      <c r="I45" s="155"/>
      <c r="J45" s="155"/>
      <c r="K45" s="155"/>
      <c r="L45" s="151"/>
    </row>
    <row r="46" spans="1:13" s="9" customFormat="1" ht="15.75" x14ac:dyDescent="0.25">
      <c r="A46" s="149" t="s">
        <v>221</v>
      </c>
      <c r="B46" s="154"/>
      <c r="C46" s="154"/>
      <c r="D46" s="154"/>
      <c r="E46" s="154"/>
      <c r="F46" s="154"/>
      <c r="G46" s="154"/>
      <c r="H46" s="154"/>
      <c r="I46" s="154"/>
      <c r="J46" s="154"/>
      <c r="K46" s="154"/>
      <c r="L46" s="150"/>
      <c r="M46" s="203"/>
    </row>
    <row r="47" spans="1:13" ht="15.75" x14ac:dyDescent="0.25">
      <c r="A47" s="26" t="s">
        <v>59</v>
      </c>
      <c r="B47" s="97"/>
      <c r="C47" s="97">
        <v>0</v>
      </c>
      <c r="D47" s="97">
        <v>0</v>
      </c>
      <c r="E47" s="97">
        <v>0</v>
      </c>
      <c r="F47" s="97">
        <v>0</v>
      </c>
      <c r="G47" s="97">
        <v>0</v>
      </c>
      <c r="H47" s="97">
        <v>0</v>
      </c>
      <c r="I47" s="97"/>
      <c r="J47" s="107">
        <f>SUM(B47:I47)</f>
        <v>0</v>
      </c>
      <c r="K47" s="97">
        <v>0</v>
      </c>
      <c r="L47" s="107">
        <f>SUM(J47:K47)</f>
        <v>0</v>
      </c>
    </row>
    <row r="48" spans="1:13" s="10" customFormat="1" ht="15.75" x14ac:dyDescent="0.25">
      <c r="A48" s="26" t="s">
        <v>60</v>
      </c>
      <c r="B48" s="97">
        <v>0</v>
      </c>
      <c r="C48" s="97">
        <v>0</v>
      </c>
      <c r="D48" s="97">
        <v>0</v>
      </c>
      <c r="E48" s="97">
        <v>0</v>
      </c>
      <c r="F48" s="97">
        <v>0</v>
      </c>
      <c r="G48" s="97">
        <v>0</v>
      </c>
      <c r="H48" s="97">
        <v>0</v>
      </c>
      <c r="I48" s="97">
        <v>0</v>
      </c>
      <c r="J48" s="107">
        <f t="shared" ref="J48:J56" si="5">SUM(B48:I48)</f>
        <v>0</v>
      </c>
      <c r="K48" s="97">
        <v>0</v>
      </c>
      <c r="L48" s="107">
        <f t="shared" ref="L48:L56" si="6">SUM(J48:K48)</f>
        <v>0</v>
      </c>
    </row>
    <row r="49" spans="1:14" ht="15.75" x14ac:dyDescent="0.25">
      <c r="A49" s="26" t="s">
        <v>61</v>
      </c>
      <c r="B49" s="97">
        <v>0</v>
      </c>
      <c r="C49" s="97">
        <v>0</v>
      </c>
      <c r="D49" s="97">
        <v>0</v>
      </c>
      <c r="E49" s="97">
        <v>0</v>
      </c>
      <c r="F49" s="97">
        <v>0</v>
      </c>
      <c r="G49" s="97">
        <v>0</v>
      </c>
      <c r="H49" s="97">
        <v>0</v>
      </c>
      <c r="I49" s="97">
        <v>0</v>
      </c>
      <c r="J49" s="107">
        <f t="shared" si="5"/>
        <v>0</v>
      </c>
      <c r="K49" s="97">
        <v>0</v>
      </c>
      <c r="L49" s="107">
        <f t="shared" si="6"/>
        <v>0</v>
      </c>
    </row>
    <row r="50" spans="1:14" ht="15.75" x14ac:dyDescent="0.25">
      <c r="A50" s="26" t="s">
        <v>62</v>
      </c>
      <c r="B50" s="97">
        <v>0</v>
      </c>
      <c r="C50" s="97">
        <v>0</v>
      </c>
      <c r="D50" s="97">
        <v>0</v>
      </c>
      <c r="E50" s="97">
        <v>0</v>
      </c>
      <c r="F50" s="97">
        <v>0</v>
      </c>
      <c r="G50" s="97">
        <v>0</v>
      </c>
      <c r="H50" s="97">
        <v>0</v>
      </c>
      <c r="I50" s="97">
        <v>0</v>
      </c>
      <c r="J50" s="107">
        <f t="shared" si="5"/>
        <v>0</v>
      </c>
      <c r="K50" s="97">
        <v>0</v>
      </c>
      <c r="L50" s="107">
        <f t="shared" si="6"/>
        <v>0</v>
      </c>
    </row>
    <row r="51" spans="1:14" ht="15.75" x14ac:dyDescent="0.25">
      <c r="A51" s="26" t="s">
        <v>223</v>
      </c>
      <c r="B51" s="275">
        <v>0</v>
      </c>
      <c r="C51" s="275">
        <v>0</v>
      </c>
      <c r="D51" s="275">
        <v>0</v>
      </c>
      <c r="E51" s="275">
        <v>0</v>
      </c>
      <c r="F51" s="275">
        <v>0</v>
      </c>
      <c r="G51" s="275">
        <v>0</v>
      </c>
      <c r="H51" s="275">
        <v>0</v>
      </c>
      <c r="I51" s="275">
        <v>1655</v>
      </c>
      <c r="J51" s="246">
        <f t="shared" si="5"/>
        <v>1655</v>
      </c>
      <c r="K51" s="275">
        <v>0</v>
      </c>
      <c r="L51" s="246">
        <f t="shared" si="6"/>
        <v>1655</v>
      </c>
    </row>
    <row r="52" spans="1:14" ht="15.75" x14ac:dyDescent="0.25">
      <c r="A52" s="26" t="s">
        <v>63</v>
      </c>
      <c r="B52" s="275">
        <v>0</v>
      </c>
      <c r="C52" s="275">
        <v>0</v>
      </c>
      <c r="D52" s="275">
        <v>0</v>
      </c>
      <c r="E52" s="275">
        <v>0</v>
      </c>
      <c r="F52" s="275">
        <v>0</v>
      </c>
      <c r="G52" s="275">
        <v>0</v>
      </c>
      <c r="H52" s="275">
        <v>0</v>
      </c>
      <c r="I52" s="275">
        <v>0</v>
      </c>
      <c r="J52" s="246">
        <f t="shared" si="5"/>
        <v>0</v>
      </c>
      <c r="K52" s="275">
        <v>0</v>
      </c>
      <c r="L52" s="246">
        <f t="shared" si="6"/>
        <v>0</v>
      </c>
    </row>
    <row r="53" spans="1:14" ht="15.75" x14ac:dyDescent="0.25">
      <c r="A53" s="26" t="s">
        <v>64</v>
      </c>
      <c r="B53" s="275">
        <v>0</v>
      </c>
      <c r="C53" s="275">
        <v>0</v>
      </c>
      <c r="D53" s="275">
        <v>0</v>
      </c>
      <c r="E53" s="275">
        <v>0</v>
      </c>
      <c r="F53" s="275">
        <v>0</v>
      </c>
      <c r="G53" s="275">
        <v>0</v>
      </c>
      <c r="H53" s="275">
        <v>0</v>
      </c>
      <c r="I53" s="275">
        <v>0</v>
      </c>
      <c r="J53" s="246">
        <f t="shared" si="5"/>
        <v>0</v>
      </c>
      <c r="K53" s="275">
        <v>0</v>
      </c>
      <c r="L53" s="246">
        <f t="shared" si="6"/>
        <v>0</v>
      </c>
    </row>
    <row r="54" spans="1:14" ht="15.75" x14ac:dyDescent="0.25">
      <c r="A54" s="6" t="s">
        <v>65</v>
      </c>
      <c r="B54" s="340">
        <v>0</v>
      </c>
      <c r="C54" s="340">
        <v>0</v>
      </c>
      <c r="D54" s="340">
        <v>0</v>
      </c>
      <c r="E54" s="340">
        <v>0</v>
      </c>
      <c r="F54" s="340">
        <v>0</v>
      </c>
      <c r="G54" s="340">
        <v>42</v>
      </c>
      <c r="H54" s="340">
        <v>0</v>
      </c>
      <c r="I54" s="340">
        <v>0</v>
      </c>
      <c r="J54" s="342">
        <f t="shared" si="5"/>
        <v>42</v>
      </c>
      <c r="K54" s="340">
        <v>0</v>
      </c>
      <c r="L54" s="342">
        <f t="shared" si="6"/>
        <v>42</v>
      </c>
    </row>
    <row r="55" spans="1:14" ht="15.75" x14ac:dyDescent="0.25">
      <c r="A55" s="153" t="s">
        <v>66</v>
      </c>
      <c r="B55" s="341"/>
      <c r="C55" s="341"/>
      <c r="D55" s="341"/>
      <c r="E55" s="341"/>
      <c r="F55" s="341"/>
      <c r="G55" s="341"/>
      <c r="H55" s="341"/>
      <c r="I55" s="341"/>
      <c r="J55" s="343"/>
      <c r="K55" s="341"/>
      <c r="L55" s="343"/>
    </row>
    <row r="56" spans="1:14" ht="15.75" x14ac:dyDescent="0.25">
      <c r="A56" s="6" t="s">
        <v>67</v>
      </c>
      <c r="B56" s="275">
        <v>0</v>
      </c>
      <c r="C56" s="275">
        <v>0</v>
      </c>
      <c r="D56" s="275">
        <v>0</v>
      </c>
      <c r="E56" s="275"/>
      <c r="F56" s="275">
        <v>0</v>
      </c>
      <c r="G56" s="275">
        <v>-607</v>
      </c>
      <c r="H56" s="275">
        <v>0</v>
      </c>
      <c r="I56" s="275">
        <v>-868</v>
      </c>
      <c r="J56" s="246">
        <f t="shared" si="5"/>
        <v>-1475</v>
      </c>
      <c r="K56" s="275">
        <v>0</v>
      </c>
      <c r="L56" s="246">
        <f t="shared" si="6"/>
        <v>-1475</v>
      </c>
      <c r="N56" s="55"/>
    </row>
    <row r="57" spans="1:14" s="9" customFormat="1" ht="15.75" x14ac:dyDescent="0.25">
      <c r="A57" s="25" t="s">
        <v>68</v>
      </c>
      <c r="B57" s="246">
        <f>SUM(B47:B56)</f>
        <v>0</v>
      </c>
      <c r="C57" s="246">
        <f t="shared" ref="C57:K57" si="7">SUM(C47:C56)</f>
        <v>0</v>
      </c>
      <c r="D57" s="246">
        <f t="shared" si="7"/>
        <v>0</v>
      </c>
      <c r="E57" s="246">
        <f t="shared" si="7"/>
        <v>0</v>
      </c>
      <c r="F57" s="246">
        <f>SUM(F47:F56)</f>
        <v>0</v>
      </c>
      <c r="G57" s="246">
        <f>SUM(G47:G56)</f>
        <v>-565</v>
      </c>
      <c r="H57" s="246">
        <f t="shared" si="7"/>
        <v>0</v>
      </c>
      <c r="I57" s="246">
        <f t="shared" si="7"/>
        <v>787</v>
      </c>
      <c r="J57" s="246">
        <f>SUM(J47:J56)</f>
        <v>222</v>
      </c>
      <c r="K57" s="246">
        <f t="shared" si="7"/>
        <v>0</v>
      </c>
      <c r="L57" s="246">
        <f>SUM(L47:L56)</f>
        <v>222</v>
      </c>
      <c r="M57" s="18"/>
    </row>
    <row r="58" spans="1:14" s="9" customFormat="1" ht="15.75" x14ac:dyDescent="0.25">
      <c r="A58" s="25" t="s">
        <v>352</v>
      </c>
      <c r="B58" s="107">
        <f>+B57+B43</f>
        <v>164370</v>
      </c>
      <c r="C58" s="107">
        <f>+C43</f>
        <v>0</v>
      </c>
      <c r="D58" s="107">
        <f>+D43</f>
        <v>0</v>
      </c>
      <c r="E58" s="107">
        <f t="shared" ref="E58:J58" si="8">+E57+E43</f>
        <v>29268</v>
      </c>
      <c r="F58" s="107">
        <f t="shared" si="8"/>
        <v>0</v>
      </c>
      <c r="G58" s="107">
        <f t="shared" si="8"/>
        <v>22748</v>
      </c>
      <c r="H58" s="107">
        <f t="shared" si="8"/>
        <v>-184954</v>
      </c>
      <c r="I58" s="107">
        <f t="shared" si="8"/>
        <v>135157</v>
      </c>
      <c r="J58" s="107">
        <f t="shared" si="8"/>
        <v>166589</v>
      </c>
      <c r="K58" s="107">
        <f>+K43</f>
        <v>0</v>
      </c>
      <c r="L58" s="107">
        <f>+K58+J58</f>
        <v>166589</v>
      </c>
    </row>
    <row r="59" spans="1:14" x14ac:dyDescent="0.25">
      <c r="I59" s="98"/>
    </row>
    <row r="60" spans="1:14" x14ac:dyDescent="0.25">
      <c r="I60" s="111"/>
    </row>
    <row r="61" spans="1:14" x14ac:dyDescent="0.25">
      <c r="J61" s="12"/>
    </row>
    <row r="62" spans="1:14" x14ac:dyDescent="0.25">
      <c r="J62" s="12"/>
    </row>
    <row r="63" spans="1:14" x14ac:dyDescent="0.25">
      <c r="G63" s="111"/>
      <c r="J63" s="11"/>
    </row>
    <row r="64" spans="1:14" x14ac:dyDescent="0.25">
      <c r="J64" s="11"/>
    </row>
  </sheetData>
  <mergeCells count="33">
    <mergeCell ref="L54:L55"/>
    <mergeCell ref="B25:B26"/>
    <mergeCell ref="C25:C26"/>
    <mergeCell ref="D25:D26"/>
    <mergeCell ref="E25:E26"/>
    <mergeCell ref="F25:F26"/>
    <mergeCell ref="H25:H26"/>
    <mergeCell ref="I25:I26"/>
    <mergeCell ref="J25:J26"/>
    <mergeCell ref="G25:G26"/>
    <mergeCell ref="L25:L26"/>
    <mergeCell ref="K25:K26"/>
    <mergeCell ref="E36:E38"/>
    <mergeCell ref="H54:H55"/>
    <mergeCell ref="I54:I55"/>
    <mergeCell ref="K54:K55"/>
    <mergeCell ref="G54:G55"/>
    <mergeCell ref="J54:J55"/>
    <mergeCell ref="B54:B55"/>
    <mergeCell ref="C54:C55"/>
    <mergeCell ref="D54:D55"/>
    <mergeCell ref="E54:E55"/>
    <mergeCell ref="F54:F55"/>
    <mergeCell ref="B35:D35"/>
    <mergeCell ref="A1:L1"/>
    <mergeCell ref="A2:L2"/>
    <mergeCell ref="B6:D6"/>
    <mergeCell ref="A4:L4"/>
    <mergeCell ref="A3:L3"/>
    <mergeCell ref="A33:A34"/>
    <mergeCell ref="E35:H35"/>
    <mergeCell ref="E7:E9"/>
    <mergeCell ref="E6:I6"/>
  </mergeCells>
  <phoneticPr fontId="0" type="noConversion"/>
  <pageMargins left="0.41" right="0.17" top="0.61" bottom="0.74803149606299202" header="0.31496062992126" footer="0.31496062992126"/>
  <pageSetup paperSize="9" scale="68" fitToWidth="2" fitToHeight="2"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zoomScaleNormal="100" workbookViewId="0">
      <selection activeCell="D64" sqref="D64"/>
    </sheetView>
  </sheetViews>
  <sheetFormatPr defaultRowHeight="15" x14ac:dyDescent="0.25"/>
  <cols>
    <col min="1" max="1" width="64.85546875" style="125" customWidth="1"/>
    <col min="2" max="2" width="11.5703125" style="255" customWidth="1"/>
    <col min="3" max="3" width="12.5703125" style="125" customWidth="1"/>
    <col min="4" max="4" width="10.42578125" style="125" bestFit="1" customWidth="1"/>
    <col min="5" max="16384" width="9.140625" style="125"/>
  </cols>
  <sheetData>
    <row r="1" spans="1:3" ht="15.75" x14ac:dyDescent="0.25">
      <c r="A1" s="351" t="s">
        <v>21</v>
      </c>
      <c r="B1" s="352"/>
      <c r="C1" s="352"/>
    </row>
    <row r="2" spans="1:3" ht="15.75" x14ac:dyDescent="0.25">
      <c r="A2" s="353" t="s">
        <v>133</v>
      </c>
      <c r="B2" s="354"/>
      <c r="C2" s="354"/>
    </row>
    <row r="3" spans="1:3" ht="15.75" x14ac:dyDescent="0.25">
      <c r="A3" s="353" t="s">
        <v>349</v>
      </c>
      <c r="B3" s="354"/>
      <c r="C3" s="354"/>
    </row>
    <row r="4" spans="1:3" ht="15.75" x14ac:dyDescent="0.25">
      <c r="A4" s="348"/>
      <c r="B4" s="349"/>
      <c r="C4" s="349"/>
    </row>
    <row r="5" spans="1:3" ht="15.75" x14ac:dyDescent="0.25">
      <c r="A5" s="126"/>
      <c r="B5" s="350" t="s">
        <v>161</v>
      </c>
      <c r="C5" s="350"/>
    </row>
    <row r="6" spans="1:3" ht="15.75" x14ac:dyDescent="0.25">
      <c r="A6" s="127" t="s">
        <v>182</v>
      </c>
      <c r="B6" s="252" t="s">
        <v>17</v>
      </c>
      <c r="C6" s="192" t="s">
        <v>311</v>
      </c>
    </row>
    <row r="7" spans="1:3" ht="15.75" x14ac:dyDescent="0.25">
      <c r="A7" s="128"/>
      <c r="B7" s="252" t="s">
        <v>310</v>
      </c>
      <c r="C7" s="238" t="s">
        <v>310</v>
      </c>
    </row>
    <row r="8" spans="1:3" ht="15.75" x14ac:dyDescent="0.25">
      <c r="A8" s="128"/>
      <c r="B8" s="253" t="s">
        <v>353</v>
      </c>
      <c r="C8" s="192" t="s">
        <v>344</v>
      </c>
    </row>
    <row r="9" spans="1:3" ht="15.75" x14ac:dyDescent="0.25">
      <c r="A9" s="191"/>
      <c r="B9" s="254"/>
      <c r="C9" s="129" t="s">
        <v>126</v>
      </c>
    </row>
    <row r="10" spans="1:3" ht="15.75" x14ac:dyDescent="0.25">
      <c r="A10" s="130" t="s">
        <v>134</v>
      </c>
      <c r="B10" s="131"/>
      <c r="C10" s="131"/>
    </row>
    <row r="11" spans="1:3" ht="15.75" x14ac:dyDescent="0.25">
      <c r="A11" s="132" t="s">
        <v>227</v>
      </c>
      <c r="B11" s="239">
        <f>'INCOME-I'!C14</f>
        <v>1727</v>
      </c>
      <c r="C11" s="94">
        <v>2251</v>
      </c>
    </row>
    <row r="12" spans="1:3" ht="15.75" x14ac:dyDescent="0.25">
      <c r="A12" s="132" t="s">
        <v>228</v>
      </c>
      <c r="B12" s="239">
        <f>-'INCOME-I'!C15</f>
        <v>-455</v>
      </c>
      <c r="C12" s="94">
        <v>-906</v>
      </c>
    </row>
    <row r="13" spans="1:3" ht="15.75" x14ac:dyDescent="0.25">
      <c r="A13" s="132" t="s">
        <v>229</v>
      </c>
      <c r="B13" s="239">
        <f>'INCOME-I'!C17</f>
        <v>89</v>
      </c>
      <c r="C13" s="94">
        <v>108</v>
      </c>
    </row>
    <row r="14" spans="1:3" ht="15.75" x14ac:dyDescent="0.25">
      <c r="A14" s="132" t="s">
        <v>230</v>
      </c>
      <c r="B14" s="239">
        <f>'INCOME-I'!C20</f>
        <v>7</v>
      </c>
      <c r="C14" s="94">
        <v>4</v>
      </c>
    </row>
    <row r="15" spans="1:3" s="163" customFormat="1" ht="15.75" x14ac:dyDescent="0.25">
      <c r="A15" s="132" t="s">
        <v>231</v>
      </c>
      <c r="B15" s="239">
        <f>-'INCOME-I'!C32</f>
        <v>-41</v>
      </c>
      <c r="C15" s="94">
        <v>-51</v>
      </c>
    </row>
    <row r="16" spans="1:3" s="163" customFormat="1" ht="15.75" x14ac:dyDescent="0.25">
      <c r="A16" s="132" t="s">
        <v>232</v>
      </c>
      <c r="B16" s="239">
        <f>-('INCOME-I'!C36+'INCOME-I'!C37)</f>
        <v>-174</v>
      </c>
      <c r="C16" s="94">
        <v>-253</v>
      </c>
    </row>
    <row r="17" spans="1:3" s="163" customFormat="1" ht="15.75" x14ac:dyDescent="0.25">
      <c r="A17" s="132" t="s">
        <v>233</v>
      </c>
      <c r="B17" s="239">
        <f>'INCOME-I'!C28</f>
        <v>0.2</v>
      </c>
      <c r="C17" s="94">
        <v>10</v>
      </c>
    </row>
    <row r="18" spans="1:3" s="163" customFormat="1" ht="15.75" x14ac:dyDescent="0.25">
      <c r="A18" s="132" t="s">
        <v>234</v>
      </c>
      <c r="B18" s="239">
        <f>-'INCOME-I'!C33-'INCOME-I'!C34-'INCOME-I'!C30</f>
        <v>48</v>
      </c>
      <c r="C18" s="94">
        <v>-164</v>
      </c>
    </row>
    <row r="19" spans="1:3" s="163" customFormat="1" ht="16.5" thickBot="1" x14ac:dyDescent="0.3">
      <c r="A19" s="130" t="s">
        <v>235</v>
      </c>
      <c r="B19" s="193">
        <f>SUM(B11:B18)</f>
        <v>1201.2</v>
      </c>
      <c r="C19" s="193">
        <v>999</v>
      </c>
    </row>
    <row r="20" spans="1:3" s="163" customFormat="1" ht="16.5" thickTop="1" x14ac:dyDescent="0.25">
      <c r="A20" s="132"/>
      <c r="B20" s="156"/>
      <c r="C20" s="156"/>
    </row>
    <row r="21" spans="1:3" s="163" customFormat="1" ht="15.75" x14ac:dyDescent="0.25">
      <c r="A21" s="130" t="s">
        <v>236</v>
      </c>
      <c r="B21" s="94"/>
      <c r="C21" s="94"/>
    </row>
    <row r="22" spans="1:3" s="163" customFormat="1" ht="15.75" x14ac:dyDescent="0.25">
      <c r="A22" s="132" t="s">
        <v>237</v>
      </c>
      <c r="B22" s="239">
        <v>86</v>
      </c>
      <c r="C22" s="94">
        <v>0</v>
      </c>
    </row>
    <row r="23" spans="1:3" s="163" customFormat="1" ht="15.75" x14ac:dyDescent="0.25">
      <c r="A23" s="132" t="s">
        <v>238</v>
      </c>
      <c r="B23" s="239">
        <f>'FINANCIAL POSITION'!C21-'FINANCIAL POSITION'!B21</f>
        <v>332.72016824998718</v>
      </c>
      <c r="C23" s="94">
        <v>0</v>
      </c>
    </row>
    <row r="24" spans="1:3" s="163" customFormat="1" ht="15.75" x14ac:dyDescent="0.25">
      <c r="A24" s="132" t="s">
        <v>239</v>
      </c>
      <c r="B24" s="276">
        <f>'FINANCIAL POSITION'!C22-'FINANCIAL POSITION'!B22+('FINANCIAL POSITION'!C31-'FINANCIAL POSITION'!B31)</f>
        <v>-29456.087161279396</v>
      </c>
      <c r="C24" s="94">
        <v>1259.91077567659</v>
      </c>
    </row>
    <row r="25" spans="1:3" s="163" customFormat="1" ht="15.75" x14ac:dyDescent="0.25">
      <c r="A25" s="132"/>
      <c r="B25" s="239"/>
      <c r="C25" s="145"/>
    </row>
    <row r="26" spans="1:3" s="163" customFormat="1" ht="15.75" x14ac:dyDescent="0.25">
      <c r="A26" s="130" t="s">
        <v>240</v>
      </c>
      <c r="B26" s="145"/>
      <c r="C26" s="145"/>
    </row>
    <row r="27" spans="1:3" s="163" customFormat="1" ht="15.75" x14ac:dyDescent="0.25">
      <c r="A27" s="132" t="s">
        <v>241</v>
      </c>
      <c r="B27" s="236">
        <f>'FINANCIAL POSITION'!B40-'FINANCIAL POSITION'!C40</f>
        <v>-352.13564344499991</v>
      </c>
      <c r="C27" s="145">
        <v>0</v>
      </c>
    </row>
    <row r="28" spans="1:3" s="163" customFormat="1" ht="15.75" x14ac:dyDescent="0.25">
      <c r="A28" s="165" t="s">
        <v>242</v>
      </c>
      <c r="B28" s="236">
        <v>0</v>
      </c>
      <c r="C28" s="145">
        <v>0</v>
      </c>
    </row>
    <row r="29" spans="1:3" s="163" customFormat="1" ht="15.75" x14ac:dyDescent="0.25">
      <c r="A29" s="132" t="s">
        <v>243</v>
      </c>
      <c r="B29" s="236">
        <f>'FINANCIAL POSITION'!B34-'FINANCIAL POSITION'!C34</f>
        <v>6483.25</v>
      </c>
      <c r="C29" s="145">
        <v>0</v>
      </c>
    </row>
    <row r="30" spans="1:3" s="163" customFormat="1" ht="15.75" x14ac:dyDescent="0.25">
      <c r="A30" s="132" t="s">
        <v>244</v>
      </c>
      <c r="B30" s="236">
        <f>('FINANCIAL POSITION'!B47-('FINANCIAL POSITION'!C47-(7622819.42950499/1000000)))+('FINANCIAL POSITION'!B44-'FINANCIAL POSITION'!C44)+('FINANCIAL POSITION'!B45-'FINANCIAL POSITION'!C45)</f>
        <v>98.330366039505009</v>
      </c>
      <c r="C30" s="145">
        <v>2168.2801892952198</v>
      </c>
    </row>
    <row r="31" spans="1:3" s="163" customFormat="1" ht="15.75" x14ac:dyDescent="0.25">
      <c r="A31" s="130" t="s">
        <v>245</v>
      </c>
      <c r="B31" s="145"/>
      <c r="C31" s="145"/>
    </row>
    <row r="32" spans="1:3" s="163" customFormat="1" ht="15.75" x14ac:dyDescent="0.25">
      <c r="A32" s="132"/>
      <c r="B32" s="145"/>
      <c r="C32" s="145"/>
    </row>
    <row r="33" spans="1:3" s="163" customFormat="1" ht="15.75" x14ac:dyDescent="0.25">
      <c r="A33" s="132" t="s">
        <v>246</v>
      </c>
      <c r="B33" s="236">
        <f>-(74181279+78469897+78214799)/1000000</f>
        <v>-230.86597499999999</v>
      </c>
      <c r="C33" s="145">
        <v>-362.77789718493301</v>
      </c>
    </row>
    <row r="34" spans="1:3" s="163" customFormat="1" ht="16.5" thickBot="1" x14ac:dyDescent="0.3">
      <c r="A34" s="130" t="s">
        <v>247</v>
      </c>
      <c r="B34" s="196">
        <f>SUM(B19:B33)</f>
        <v>-21837.588245434901</v>
      </c>
      <c r="C34" s="196">
        <v>4064.4130677868761</v>
      </c>
    </row>
    <row r="35" spans="1:3" s="163" customFormat="1" ht="16.5" thickTop="1" x14ac:dyDescent="0.25">
      <c r="A35" s="130"/>
      <c r="B35" s="194"/>
      <c r="C35" s="194"/>
    </row>
    <row r="36" spans="1:3" ht="15.75" x14ac:dyDescent="0.25">
      <c r="A36" s="130" t="s">
        <v>135</v>
      </c>
      <c r="B36" s="195"/>
      <c r="C36" s="195"/>
    </row>
    <row r="37" spans="1:3" ht="15.75" x14ac:dyDescent="0.25">
      <c r="A37" s="132" t="s">
        <v>136</v>
      </c>
      <c r="B37" s="145">
        <v>0</v>
      </c>
      <c r="C37" s="145">
        <v>-0.4656614</v>
      </c>
    </row>
    <row r="38" spans="1:3" ht="15.75" x14ac:dyDescent="0.25">
      <c r="A38" s="132" t="s">
        <v>137</v>
      </c>
      <c r="B38" s="145">
        <v>0</v>
      </c>
      <c r="C38" s="145">
        <v>0</v>
      </c>
    </row>
    <row r="39" spans="1:3" ht="15.75" x14ac:dyDescent="0.25">
      <c r="A39" s="132" t="s">
        <v>138</v>
      </c>
      <c r="B39" s="145">
        <v>0</v>
      </c>
      <c r="C39" s="145">
        <v>2082</v>
      </c>
    </row>
    <row r="40" spans="1:3" ht="15.75" x14ac:dyDescent="0.25">
      <c r="A40" s="132" t="s">
        <v>139</v>
      </c>
      <c r="B40" s="145">
        <v>0</v>
      </c>
      <c r="C40" s="145">
        <v>0</v>
      </c>
    </row>
    <row r="41" spans="1:3" ht="15.75" x14ac:dyDescent="0.25">
      <c r="A41" s="132" t="s">
        <v>140</v>
      </c>
      <c r="B41" s="145">
        <v>0</v>
      </c>
      <c r="C41" s="145">
        <v>0</v>
      </c>
    </row>
    <row r="42" spans="1:3" ht="31.5" x14ac:dyDescent="0.25">
      <c r="A42" s="164" t="s">
        <v>249</v>
      </c>
      <c r="B42" s="145">
        <v>0</v>
      </c>
      <c r="C42" s="145">
        <v>0</v>
      </c>
    </row>
    <row r="43" spans="1:3" ht="31.5" x14ac:dyDescent="0.25">
      <c r="A43" s="164" t="s">
        <v>250</v>
      </c>
      <c r="B43" s="145">
        <v>0</v>
      </c>
      <c r="C43" s="145">
        <v>0</v>
      </c>
    </row>
    <row r="44" spans="1:3" ht="15.75" x14ac:dyDescent="0.25">
      <c r="A44" s="132" t="s">
        <v>141</v>
      </c>
      <c r="B44" s="145">
        <v>0</v>
      </c>
      <c r="C44" s="145">
        <v>1.3889</v>
      </c>
    </row>
    <row r="45" spans="1:3" ht="15.75" x14ac:dyDescent="0.25">
      <c r="A45" s="132" t="s">
        <v>142</v>
      </c>
      <c r="B45" s="145">
        <v>0</v>
      </c>
      <c r="C45" s="145">
        <v>0</v>
      </c>
    </row>
    <row r="46" spans="1:3" ht="16.5" thickBot="1" x14ac:dyDescent="0.3">
      <c r="A46" s="130" t="s">
        <v>143</v>
      </c>
      <c r="B46" s="196">
        <f>SUM(B37:B45)</f>
        <v>0</v>
      </c>
      <c r="C46" s="196">
        <v>2082.9232385999999</v>
      </c>
    </row>
    <row r="47" spans="1:3" s="163" customFormat="1" ht="16.5" thickTop="1" x14ac:dyDescent="0.25">
      <c r="A47" s="132"/>
      <c r="B47" s="197"/>
      <c r="C47" s="197"/>
    </row>
    <row r="48" spans="1:3" ht="15.75" x14ac:dyDescent="0.25">
      <c r="A48" s="130" t="s">
        <v>144</v>
      </c>
      <c r="B48" s="145"/>
      <c r="C48" s="145"/>
    </row>
    <row r="49" spans="1:7" ht="15.75" x14ac:dyDescent="0.25">
      <c r="A49" s="132" t="s">
        <v>145</v>
      </c>
      <c r="B49" s="145">
        <v>0</v>
      </c>
      <c r="C49" s="145">
        <v>0</v>
      </c>
    </row>
    <row r="50" spans="1:7" ht="15.75" x14ac:dyDescent="0.25">
      <c r="A50" s="132" t="s">
        <v>146</v>
      </c>
      <c r="B50" s="145">
        <v>0</v>
      </c>
      <c r="C50" s="145">
        <v>0</v>
      </c>
    </row>
    <row r="51" spans="1:7" ht="15.75" x14ac:dyDescent="0.25">
      <c r="A51" s="132" t="s">
        <v>147</v>
      </c>
      <c r="B51" s="145">
        <v>0</v>
      </c>
      <c r="C51" s="145">
        <v>0</v>
      </c>
    </row>
    <row r="52" spans="1:7" ht="15.75" x14ac:dyDescent="0.25">
      <c r="A52" s="132" t="s">
        <v>148</v>
      </c>
      <c r="B52" s="145">
        <v>0</v>
      </c>
      <c r="C52" s="145">
        <v>0</v>
      </c>
    </row>
    <row r="53" spans="1:7" ht="15.75" x14ac:dyDescent="0.25">
      <c r="A53" s="132" t="s">
        <v>149</v>
      </c>
      <c r="B53" s="145">
        <v>0</v>
      </c>
      <c r="C53" s="145">
        <v>0</v>
      </c>
    </row>
    <row r="54" spans="1:7" ht="15.75" x14ac:dyDescent="0.25">
      <c r="A54" s="132" t="s">
        <v>150</v>
      </c>
      <c r="B54" s="145">
        <v>0</v>
      </c>
      <c r="C54" s="145">
        <v>0</v>
      </c>
    </row>
    <row r="55" spans="1:7" ht="15.75" x14ac:dyDescent="0.25">
      <c r="A55" s="132" t="s">
        <v>151</v>
      </c>
      <c r="B55" s="145">
        <v>0</v>
      </c>
      <c r="C55" s="145">
        <v>0</v>
      </c>
    </row>
    <row r="56" spans="1:7" ht="15.75" x14ac:dyDescent="0.25">
      <c r="A56" s="132" t="s">
        <v>152</v>
      </c>
      <c r="B56" s="145">
        <v>0</v>
      </c>
      <c r="C56" s="145">
        <v>0</v>
      </c>
    </row>
    <row r="57" spans="1:7" ht="15.75" x14ac:dyDescent="0.25">
      <c r="A57" s="132" t="s">
        <v>142</v>
      </c>
      <c r="B57" s="145">
        <v>0</v>
      </c>
      <c r="C57" s="145">
        <v>11564</v>
      </c>
    </row>
    <row r="58" spans="1:7" ht="16.5" thickBot="1" x14ac:dyDescent="0.3">
      <c r="A58" s="130" t="s">
        <v>248</v>
      </c>
      <c r="B58" s="196">
        <f>SUM(B49:B57)</f>
        <v>0</v>
      </c>
      <c r="C58" s="196">
        <v>11564</v>
      </c>
    </row>
    <row r="59" spans="1:7" ht="16.5" thickTop="1" x14ac:dyDescent="0.25">
      <c r="A59" s="130"/>
      <c r="B59" s="197"/>
      <c r="C59" s="197"/>
    </row>
    <row r="60" spans="1:7" ht="15.75" x14ac:dyDescent="0.25">
      <c r="A60" s="130" t="s">
        <v>153</v>
      </c>
      <c r="B60" s="195">
        <f>+B34+B46+B58</f>
        <v>-21837.588245434901</v>
      </c>
      <c r="C60" s="195">
        <v>17711.336306386875</v>
      </c>
    </row>
    <row r="61" spans="1:7" ht="15.75" x14ac:dyDescent="0.25">
      <c r="A61" s="132" t="s">
        <v>154</v>
      </c>
      <c r="B61" s="145">
        <v>26064</v>
      </c>
      <c r="C61" s="145">
        <v>8177.8732177799993</v>
      </c>
    </row>
    <row r="62" spans="1:7" ht="15.75" x14ac:dyDescent="0.25">
      <c r="A62" s="132" t="s">
        <v>155</v>
      </c>
      <c r="B62" s="145"/>
      <c r="C62" s="145">
        <v>175.0112134</v>
      </c>
      <c r="G62" s="125" t="s">
        <v>113</v>
      </c>
    </row>
    <row r="63" spans="1:7" ht="16.5" thickBot="1" x14ac:dyDescent="0.3">
      <c r="A63" s="130" t="s">
        <v>156</v>
      </c>
      <c r="B63" s="196">
        <f>SUM(B60:B62)</f>
        <v>4226.4117545650988</v>
      </c>
      <c r="C63" s="196">
        <v>26064.220737566873</v>
      </c>
      <c r="D63" s="241"/>
      <c r="E63" s="242"/>
      <c r="F63" s="242"/>
    </row>
    <row r="64" spans="1:7" ht="15.75" thickTop="1" x14ac:dyDescent="0.25">
      <c r="B64" s="285"/>
      <c r="D64" s="242"/>
      <c r="E64" s="243"/>
      <c r="F64" s="242"/>
    </row>
    <row r="65" spans="2:6" x14ac:dyDescent="0.25">
      <c r="B65" s="285"/>
      <c r="D65" s="242"/>
      <c r="E65" s="242"/>
      <c r="F65" s="242"/>
    </row>
    <row r="66" spans="2:6" x14ac:dyDescent="0.25">
      <c r="D66" s="242"/>
      <c r="E66" s="242"/>
      <c r="F66" s="242"/>
    </row>
  </sheetData>
  <mergeCells count="5">
    <mergeCell ref="A4:C4"/>
    <mergeCell ref="B5:C5"/>
    <mergeCell ref="A1:C1"/>
    <mergeCell ref="A2:C2"/>
    <mergeCell ref="A3:C3"/>
  </mergeCells>
  <pageMargins left="0.51" right="0.17" top="0.45" bottom="0.34" header="0.3" footer="0.18"/>
  <pageSetup paperSize="9" scale="7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topLeftCell="A19" zoomScale="70" zoomScaleNormal="70" workbookViewId="0">
      <selection activeCell="B55" sqref="B55"/>
    </sheetView>
  </sheetViews>
  <sheetFormatPr defaultRowHeight="15.75" x14ac:dyDescent="0.25"/>
  <cols>
    <col min="1" max="1" width="62.140625" style="3" customWidth="1"/>
    <col min="2" max="2" width="14" style="3" customWidth="1"/>
    <col min="3" max="3" width="14.28515625" style="3" customWidth="1"/>
    <col min="4" max="4" width="13.42578125" style="89" customWidth="1"/>
    <col min="5" max="5" width="12.5703125" style="3" customWidth="1"/>
    <col min="6" max="16384" width="9.140625" style="3"/>
  </cols>
  <sheetData>
    <row r="1" spans="1:5" x14ac:dyDescent="0.25">
      <c r="A1" s="360" t="s">
        <v>21</v>
      </c>
      <c r="B1" s="360"/>
      <c r="C1" s="360"/>
      <c r="D1" s="360"/>
      <c r="E1" s="360"/>
    </row>
    <row r="2" spans="1:5" x14ac:dyDescent="0.25">
      <c r="A2" s="360" t="s">
        <v>251</v>
      </c>
      <c r="B2" s="360"/>
      <c r="C2" s="360"/>
      <c r="D2" s="360"/>
      <c r="E2" s="360"/>
    </row>
    <row r="3" spans="1:5" x14ac:dyDescent="0.25">
      <c r="A3" s="360" t="s">
        <v>350</v>
      </c>
      <c r="B3" s="360"/>
      <c r="C3" s="360"/>
      <c r="D3" s="360"/>
      <c r="E3" s="360"/>
    </row>
    <row r="4" spans="1:5" ht="8.25" customHeight="1" x14ac:dyDescent="0.25">
      <c r="A4" s="29"/>
      <c r="B4" s="29"/>
      <c r="C4" s="29"/>
      <c r="E4" s="29"/>
    </row>
    <row r="5" spans="1:5" x14ac:dyDescent="0.25">
      <c r="A5" s="362" t="s">
        <v>160</v>
      </c>
      <c r="B5" s="361" t="s">
        <v>16</v>
      </c>
      <c r="C5" s="361"/>
      <c r="D5" s="350" t="s">
        <v>25</v>
      </c>
      <c r="E5" s="350"/>
    </row>
    <row r="6" spans="1:5" x14ac:dyDescent="0.25">
      <c r="A6" s="363"/>
      <c r="B6" s="190" t="s">
        <v>353</v>
      </c>
      <c r="C6" s="232" t="s">
        <v>344</v>
      </c>
      <c r="D6" s="277" t="s">
        <v>353</v>
      </c>
      <c r="E6" s="244" t="s">
        <v>344</v>
      </c>
    </row>
    <row r="7" spans="1:5" ht="45.75" customHeight="1" x14ac:dyDescent="0.25">
      <c r="A7" s="364"/>
      <c r="B7" s="247" t="s">
        <v>337</v>
      </c>
      <c r="C7" s="120" t="s">
        <v>157</v>
      </c>
      <c r="D7" s="120" t="s">
        <v>338</v>
      </c>
      <c r="E7" s="120" t="s">
        <v>125</v>
      </c>
    </row>
    <row r="8" spans="1:5" x14ac:dyDescent="0.25">
      <c r="A8" s="25" t="s">
        <v>252</v>
      </c>
      <c r="B8" s="120"/>
      <c r="C8" s="120"/>
      <c r="D8" s="120"/>
      <c r="E8" s="120"/>
    </row>
    <row r="9" spans="1:5" x14ac:dyDescent="0.25">
      <c r="A9" s="26" t="s">
        <v>253</v>
      </c>
      <c r="B9" s="92">
        <f>10340485.7239684/1000</f>
        <v>10340.485723968399</v>
      </c>
      <c r="C9" s="82">
        <v>10088.48</v>
      </c>
      <c r="D9" s="294">
        <v>93616</v>
      </c>
      <c r="E9" s="231">
        <v>93294</v>
      </c>
    </row>
    <row r="10" spans="1:5" x14ac:dyDescent="0.25">
      <c r="A10" s="26" t="s">
        <v>254</v>
      </c>
      <c r="B10" s="92">
        <f>10340485.7239684/1000</f>
        <v>10340.485723968399</v>
      </c>
      <c r="C10" s="82">
        <v>10088.48</v>
      </c>
      <c r="D10" s="294">
        <v>93616</v>
      </c>
      <c r="E10" s="231">
        <v>93294</v>
      </c>
    </row>
    <row r="11" spans="1:5" x14ac:dyDescent="0.25">
      <c r="A11" s="26" t="s">
        <v>255</v>
      </c>
      <c r="B11" s="92">
        <f>10435748.1950484/1000</f>
        <v>10435.7481950484</v>
      </c>
      <c r="C11" s="82">
        <v>10185.032999999999</v>
      </c>
      <c r="D11" s="92">
        <v>121999</v>
      </c>
      <c r="E11" s="92">
        <v>121813</v>
      </c>
    </row>
    <row r="12" spans="1:5" x14ac:dyDescent="0.25">
      <c r="A12" s="26"/>
      <c r="B12" s="92"/>
      <c r="C12" s="82"/>
      <c r="D12" s="92"/>
      <c r="E12" s="92"/>
    </row>
    <row r="13" spans="1:5" x14ac:dyDescent="0.25">
      <c r="A13" s="25" t="s">
        <v>256</v>
      </c>
      <c r="B13" s="92"/>
      <c r="C13" s="82"/>
      <c r="D13" s="92"/>
      <c r="E13" s="92"/>
    </row>
    <row r="14" spans="1:5" x14ac:dyDescent="0.25">
      <c r="A14" s="26" t="s">
        <v>318</v>
      </c>
      <c r="B14" s="124">
        <v>0.54120461368456874</v>
      </c>
      <c r="C14" s="99">
        <v>0.49974000000000002</v>
      </c>
      <c r="D14" s="295">
        <v>8.8200000000000001E-2</v>
      </c>
      <c r="E14" s="124">
        <v>8.2100000000000006E-2</v>
      </c>
    </row>
    <row r="15" spans="1:5" x14ac:dyDescent="0.25">
      <c r="A15" s="26" t="s">
        <v>317</v>
      </c>
      <c r="B15" s="124">
        <v>0.54120461368456874</v>
      </c>
      <c r="C15" s="99">
        <v>0.49974000000000002</v>
      </c>
      <c r="D15" s="295">
        <v>8.8200000000000001E-2</v>
      </c>
      <c r="E15" s="124">
        <v>8.2100000000000006E-2</v>
      </c>
    </row>
    <row r="16" spans="1:5" x14ac:dyDescent="0.25">
      <c r="A16" s="26" t="s">
        <v>319</v>
      </c>
      <c r="B16" s="124">
        <v>0.54619050025080462</v>
      </c>
      <c r="C16" s="99">
        <v>0.50453000000000003</v>
      </c>
      <c r="D16" s="295">
        <v>0.1149</v>
      </c>
      <c r="E16" s="91" t="s">
        <v>348</v>
      </c>
    </row>
    <row r="17" spans="1:5" x14ac:dyDescent="0.25">
      <c r="A17" s="26"/>
      <c r="B17" s="124"/>
      <c r="C17" s="99"/>
      <c r="D17" s="295"/>
      <c r="E17" s="124"/>
    </row>
    <row r="18" spans="1:5" ht="20.25" customHeight="1" x14ac:dyDescent="0.25">
      <c r="A18" s="130" t="s">
        <v>328</v>
      </c>
      <c r="B18" s="124">
        <v>0.18613192243903759</v>
      </c>
      <c r="C18" s="124">
        <v>0.20745249207876554</v>
      </c>
      <c r="D18" s="297">
        <v>3.5499999999999997E-2</v>
      </c>
      <c r="E18" s="124">
        <v>3.5200000000000002E-2</v>
      </c>
    </row>
    <row r="19" spans="1:5" x14ac:dyDescent="0.25">
      <c r="A19" s="26"/>
      <c r="B19" s="278"/>
      <c r="C19" s="123"/>
      <c r="D19" s="91"/>
      <c r="E19" s="91"/>
    </row>
    <row r="20" spans="1:5" x14ac:dyDescent="0.25">
      <c r="A20" s="25" t="s">
        <v>94</v>
      </c>
      <c r="B20" s="91"/>
      <c r="C20" s="81"/>
      <c r="D20" s="91"/>
      <c r="E20" s="91"/>
    </row>
    <row r="21" spans="1:5" x14ac:dyDescent="0.25">
      <c r="A21" s="26" t="s">
        <v>95</v>
      </c>
      <c r="B21" s="92">
        <f>+(17289802+160483*185.5)/1000</f>
        <v>47059.398500000003</v>
      </c>
      <c r="C21" s="92">
        <v>38058.051500000001</v>
      </c>
      <c r="D21" s="92">
        <v>770887</v>
      </c>
      <c r="E21" s="92">
        <v>726468</v>
      </c>
    </row>
    <row r="22" spans="1:5" x14ac:dyDescent="0.25">
      <c r="A22" s="26" t="s">
        <v>320</v>
      </c>
      <c r="B22" s="92"/>
      <c r="C22" s="82"/>
      <c r="D22" s="92"/>
      <c r="E22" s="92"/>
    </row>
    <row r="23" spans="1:5" x14ac:dyDescent="0.25">
      <c r="A23" s="26" t="s">
        <v>96</v>
      </c>
      <c r="B23" s="279">
        <v>1.4726334930714708</v>
      </c>
      <c r="C23" s="99">
        <v>1.0753886548418543</v>
      </c>
      <c r="D23" s="365" t="s">
        <v>361</v>
      </c>
      <c r="E23" s="365" t="s">
        <v>345</v>
      </c>
    </row>
    <row r="24" spans="1:5" x14ac:dyDescent="0.25">
      <c r="A24" s="26" t="s">
        <v>97</v>
      </c>
      <c r="B24" s="124">
        <v>1.0984683921249709</v>
      </c>
      <c r="C24" s="99">
        <v>0.94629863851494167</v>
      </c>
      <c r="D24" s="366"/>
      <c r="E24" s="366"/>
    </row>
    <row r="25" spans="1:5" x14ac:dyDescent="0.25">
      <c r="A25" s="26"/>
      <c r="B25" s="124"/>
      <c r="C25" s="99"/>
      <c r="D25" s="91"/>
      <c r="E25" s="91"/>
    </row>
    <row r="26" spans="1:5" x14ac:dyDescent="0.25">
      <c r="A26" s="26" t="s">
        <v>322</v>
      </c>
      <c r="B26" s="145">
        <v>4688.8979368599994</v>
      </c>
      <c r="C26" s="206">
        <v>3299.89</v>
      </c>
      <c r="D26" s="236">
        <v>566054.9</v>
      </c>
      <c r="E26" s="145">
        <v>533812</v>
      </c>
    </row>
    <row r="27" spans="1:5" x14ac:dyDescent="0.25">
      <c r="A27" s="26" t="s">
        <v>323</v>
      </c>
      <c r="B27" s="124"/>
      <c r="C27" s="99"/>
      <c r="D27" s="91"/>
      <c r="E27" s="91"/>
    </row>
    <row r="28" spans="1:5" x14ac:dyDescent="0.25">
      <c r="A28" s="26" t="s">
        <v>324</v>
      </c>
      <c r="B28" s="124">
        <v>53.159297260802497</v>
      </c>
      <c r="C28" s="99">
        <v>72.319999999999993</v>
      </c>
      <c r="D28" s="91"/>
      <c r="E28" s="91"/>
    </row>
    <row r="29" spans="1:5" x14ac:dyDescent="0.25">
      <c r="A29" s="26" t="s">
        <v>325</v>
      </c>
      <c r="B29" s="124">
        <v>9.0873158250710109</v>
      </c>
      <c r="C29" s="99">
        <v>6.2203999999999997</v>
      </c>
      <c r="D29" s="295">
        <v>1.9955000000000001</v>
      </c>
      <c r="E29" s="91" t="s">
        <v>346</v>
      </c>
    </row>
    <row r="30" spans="1:5" x14ac:dyDescent="0.25">
      <c r="A30" s="26"/>
      <c r="B30" s="124"/>
      <c r="C30" s="99"/>
      <c r="D30" s="91"/>
      <c r="E30" s="91"/>
    </row>
    <row r="31" spans="1:5" x14ac:dyDescent="0.25">
      <c r="A31" s="26" t="s">
        <v>340</v>
      </c>
      <c r="B31" s="124">
        <v>7.907726578321971</v>
      </c>
      <c r="C31" s="99">
        <v>5.6806000000000001</v>
      </c>
      <c r="D31" s="298" t="s">
        <v>326</v>
      </c>
      <c r="E31" s="221" t="s">
        <v>326</v>
      </c>
    </row>
    <row r="32" spans="1:5" x14ac:dyDescent="0.25">
      <c r="A32" s="26"/>
      <c r="B32" s="124"/>
      <c r="C32" s="99"/>
      <c r="D32" s="91"/>
      <c r="E32" s="91"/>
    </row>
    <row r="33" spans="1:5" x14ac:dyDescent="0.25">
      <c r="A33" s="25" t="s">
        <v>92</v>
      </c>
      <c r="B33" s="91"/>
      <c r="C33" s="91"/>
      <c r="D33" s="91"/>
      <c r="E33" s="91"/>
    </row>
    <row r="34" spans="1:5" x14ac:dyDescent="0.25">
      <c r="A34" s="26" t="s">
        <v>257</v>
      </c>
      <c r="B34" s="166">
        <v>2.314165170880091E-2</v>
      </c>
      <c r="C34" s="166">
        <v>7.2967929887493344E-2</v>
      </c>
      <c r="D34" s="295">
        <v>0.12189999999999999</v>
      </c>
      <c r="E34" s="124">
        <v>0.14779999999999999</v>
      </c>
    </row>
    <row r="35" spans="1:5" x14ac:dyDescent="0.25">
      <c r="A35" s="26" t="s">
        <v>258</v>
      </c>
      <c r="B35" s="166">
        <v>2.892160721876895E-3</v>
      </c>
      <c r="C35" s="166">
        <v>5.1779365210133592E-2</v>
      </c>
      <c r="D35" s="134">
        <v>3.1300000000000001E-2</v>
      </c>
      <c r="E35" s="134">
        <v>5.4399999999999997E-2</v>
      </c>
    </row>
    <row r="36" spans="1:5" x14ac:dyDescent="0.25">
      <c r="A36" s="26"/>
      <c r="B36" s="91"/>
      <c r="C36" s="91"/>
      <c r="D36" s="91"/>
      <c r="E36" s="91"/>
    </row>
    <row r="37" spans="1:5" x14ac:dyDescent="0.25">
      <c r="A37" s="25" t="s">
        <v>93</v>
      </c>
      <c r="B37" s="91"/>
      <c r="C37" s="91"/>
      <c r="D37" s="91"/>
      <c r="E37" s="91"/>
    </row>
    <row r="38" spans="1:5" x14ac:dyDescent="0.25">
      <c r="A38" s="26" t="s">
        <v>261</v>
      </c>
      <c r="B38" s="124">
        <v>3.4086866302921306E-2</v>
      </c>
      <c r="C38" s="124">
        <v>3.1783744401412226E-2</v>
      </c>
      <c r="D38" s="295">
        <v>2.4500000000000001E-2</v>
      </c>
      <c r="E38" s="124">
        <v>2.3E-2</v>
      </c>
    </row>
    <row r="39" spans="1:5" x14ac:dyDescent="0.25">
      <c r="A39" s="26" t="s">
        <v>259</v>
      </c>
      <c r="B39" s="124">
        <v>3.2189578461532288E-2</v>
      </c>
      <c r="C39" s="124">
        <v>2.3610788643178737E-2</v>
      </c>
      <c r="D39" s="124">
        <v>3.0999999999999999E-3</v>
      </c>
      <c r="E39" s="91"/>
    </row>
    <row r="40" spans="1:5" x14ac:dyDescent="0.25">
      <c r="A40" s="26" t="s">
        <v>260</v>
      </c>
      <c r="B40" s="124">
        <v>0.14712856136348507</v>
      </c>
      <c r="C40" s="124">
        <v>0.1003</v>
      </c>
      <c r="D40" s="91">
        <v>13.63</v>
      </c>
      <c r="E40" s="91"/>
    </row>
    <row r="41" spans="1:5" ht="15.75" customHeight="1" x14ac:dyDescent="0.25">
      <c r="A41" s="21"/>
      <c r="B41" s="4"/>
      <c r="C41" s="4"/>
      <c r="D41" s="142"/>
      <c r="E41" s="4"/>
    </row>
    <row r="42" spans="1:5" hidden="1" x14ac:dyDescent="0.25">
      <c r="A42" s="100" t="s">
        <v>127</v>
      </c>
      <c r="B42" s="101"/>
      <c r="C42" s="101"/>
      <c r="D42" s="146"/>
      <c r="E42" s="102"/>
    </row>
    <row r="43" spans="1:5" hidden="1" x14ac:dyDescent="0.25">
      <c r="A43" s="100"/>
      <c r="B43" s="101"/>
      <c r="C43" s="101"/>
      <c r="D43" s="146"/>
      <c r="E43" s="102"/>
    </row>
    <row r="44" spans="1:5" ht="126.75" hidden="1" customHeight="1" x14ac:dyDescent="0.25">
      <c r="A44" s="356" t="s">
        <v>158</v>
      </c>
      <c r="B44" s="356"/>
      <c r="C44" s="356"/>
      <c r="D44" s="356"/>
      <c r="E44" s="356"/>
    </row>
    <row r="45" spans="1:5" hidden="1" x14ac:dyDescent="0.25">
      <c r="A45" s="96"/>
      <c r="B45" s="96"/>
      <c r="C45" s="96"/>
      <c r="D45" s="147"/>
      <c r="E45" s="96"/>
    </row>
    <row r="46" spans="1:5" hidden="1" x14ac:dyDescent="0.25">
      <c r="A46" s="21" t="s">
        <v>128</v>
      </c>
      <c r="B46" s="4"/>
      <c r="C46" s="4"/>
      <c r="D46" s="142"/>
      <c r="E46" s="4"/>
    </row>
    <row r="47" spans="1:5" hidden="1" x14ac:dyDescent="0.25">
      <c r="A47" s="21"/>
      <c r="B47" s="4"/>
      <c r="C47" s="4"/>
      <c r="D47" s="142"/>
      <c r="E47" s="4"/>
    </row>
    <row r="48" spans="1:5" ht="192.75" hidden="1" customHeight="1" x14ac:dyDescent="0.25">
      <c r="A48" s="355" t="s">
        <v>165</v>
      </c>
      <c r="B48" s="355"/>
      <c r="C48" s="355"/>
      <c r="D48" s="355"/>
      <c r="E48" s="355"/>
    </row>
    <row r="49" spans="1:6" hidden="1" x14ac:dyDescent="0.25">
      <c r="A49" s="95"/>
      <c r="B49" s="96"/>
      <c r="C49" s="96"/>
      <c r="D49" s="147"/>
      <c r="E49" s="96"/>
    </row>
    <row r="50" spans="1:6" ht="15" customHeight="1" x14ac:dyDescent="0.25">
      <c r="A50" s="21" t="s">
        <v>115</v>
      </c>
      <c r="B50" s="15"/>
      <c r="C50" s="15"/>
      <c r="D50" s="148"/>
      <c r="E50" s="15"/>
    </row>
    <row r="51" spans="1:6" ht="81" customHeight="1" x14ac:dyDescent="0.25">
      <c r="A51" s="356" t="s">
        <v>130</v>
      </c>
      <c r="B51" s="357"/>
      <c r="C51" s="357"/>
      <c r="D51" s="357"/>
      <c r="E51" s="357"/>
      <c r="F51" s="3" t="s">
        <v>347</v>
      </c>
    </row>
    <row r="52" spans="1:6" ht="31.5" customHeight="1" x14ac:dyDescent="0.25">
      <c r="A52" s="355" t="s">
        <v>336</v>
      </c>
      <c r="B52" s="359"/>
      <c r="C52" s="359"/>
      <c r="D52" s="359"/>
      <c r="E52" s="359"/>
    </row>
    <row r="53" spans="1:6" x14ac:dyDescent="0.25">
      <c r="A53" s="95"/>
      <c r="B53" s="96"/>
      <c r="C53" s="96"/>
      <c r="D53" s="147"/>
      <c r="E53" s="96"/>
    </row>
    <row r="54" spans="1:6" x14ac:dyDescent="0.25">
      <c r="A54" s="95"/>
      <c r="B54" s="96"/>
      <c r="C54" s="96"/>
      <c r="D54" s="147"/>
      <c r="E54" s="96"/>
    </row>
    <row r="55" spans="1:6" x14ac:dyDescent="0.25">
      <c r="A55" s="95"/>
      <c r="B55" s="96"/>
      <c r="C55" s="96"/>
      <c r="D55" s="147"/>
      <c r="E55" s="96"/>
    </row>
    <row r="56" spans="1:6" x14ac:dyDescent="0.25">
      <c r="A56" s="95"/>
      <c r="B56" s="96"/>
      <c r="C56" s="96"/>
      <c r="D56" s="147"/>
      <c r="E56" s="96"/>
    </row>
    <row r="57" spans="1:6" x14ac:dyDescent="0.25">
      <c r="A57" s="95"/>
      <c r="B57" s="96"/>
      <c r="C57" s="96"/>
      <c r="D57" s="147"/>
      <c r="E57" s="96"/>
    </row>
    <row r="58" spans="1:6" x14ac:dyDescent="0.25">
      <c r="A58" s="2" t="s">
        <v>354</v>
      </c>
      <c r="B58" s="24"/>
      <c r="C58" s="24"/>
      <c r="D58" s="358" t="s">
        <v>131</v>
      </c>
      <c r="E58" s="358"/>
    </row>
    <row r="59" spans="1:6" x14ac:dyDescent="0.25">
      <c r="A59" s="3" t="s">
        <v>164</v>
      </c>
      <c r="B59" s="2"/>
      <c r="D59" s="89" t="s">
        <v>129</v>
      </c>
    </row>
    <row r="60" spans="1:6" s="266" customFormat="1" x14ac:dyDescent="0.25">
      <c r="A60" s="296" t="s">
        <v>362</v>
      </c>
      <c r="D60" s="296" t="s">
        <v>362</v>
      </c>
      <c r="E60" s="89"/>
    </row>
  </sheetData>
  <mergeCells count="13">
    <mergeCell ref="A48:E48"/>
    <mergeCell ref="A51:E51"/>
    <mergeCell ref="D58:E58"/>
    <mergeCell ref="A52:E52"/>
    <mergeCell ref="A1:E1"/>
    <mergeCell ref="A2:E2"/>
    <mergeCell ref="A3:E3"/>
    <mergeCell ref="A44:E44"/>
    <mergeCell ref="B5:C5"/>
    <mergeCell ref="D5:E5"/>
    <mergeCell ref="A5:A7"/>
    <mergeCell ref="D23:D24"/>
    <mergeCell ref="E23:E24"/>
  </mergeCells>
  <phoneticPr fontId="0" type="noConversion"/>
  <pageMargins left="0.39" right="0.17" top="0.46" bottom="0.56999999999999995" header="0.3" footer="0.3"/>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43"/>
  <sheetViews>
    <sheetView topLeftCell="A115" zoomScaleNormal="100" zoomScaleSheetLayoutView="100" workbookViewId="0">
      <selection activeCell="B46" sqref="B46"/>
    </sheetView>
  </sheetViews>
  <sheetFormatPr defaultRowHeight="15.75" x14ac:dyDescent="0.25"/>
  <cols>
    <col min="1" max="1" width="40.5703125" style="3" customWidth="1"/>
    <col min="2" max="2" width="14.28515625" style="3" customWidth="1"/>
    <col min="3" max="3" width="16.5703125" style="3" customWidth="1"/>
    <col min="4" max="4" width="14" style="3" bestFit="1" customWidth="1"/>
    <col min="5" max="5" width="16.7109375" style="3" customWidth="1"/>
    <col min="6" max="6" width="16.140625" style="3" customWidth="1"/>
    <col min="7" max="7" width="18.28515625" style="3" customWidth="1"/>
    <col min="8" max="8" width="15.5703125" style="3" customWidth="1"/>
    <col min="9" max="9" width="24.5703125" style="3" customWidth="1"/>
    <col min="10" max="16384" width="9.140625" style="3"/>
  </cols>
  <sheetData>
    <row r="1" spans="1:10" x14ac:dyDescent="0.25">
      <c r="A1" s="305" t="s">
        <v>21</v>
      </c>
      <c r="B1" s="306"/>
      <c r="C1" s="306"/>
      <c r="D1" s="306"/>
      <c r="E1" s="306"/>
      <c r="F1" s="167"/>
      <c r="G1" s="167"/>
      <c r="H1" s="167"/>
      <c r="I1" s="167"/>
      <c r="J1" s="4"/>
    </row>
    <row r="2" spans="1:10" x14ac:dyDescent="0.25">
      <c r="A2" s="308" t="s">
        <v>114</v>
      </c>
      <c r="B2" s="309"/>
      <c r="C2" s="309"/>
      <c r="D2" s="309"/>
      <c r="E2" s="309"/>
      <c r="F2" s="54"/>
      <c r="G2" s="54"/>
      <c r="H2" s="54"/>
      <c r="I2" s="54"/>
      <c r="J2" s="4"/>
    </row>
    <row r="3" spans="1:10" x14ac:dyDescent="0.25">
      <c r="A3" s="308" t="s">
        <v>355</v>
      </c>
      <c r="B3" s="309"/>
      <c r="C3" s="309"/>
      <c r="D3" s="309"/>
      <c r="E3" s="309"/>
      <c r="F3" s="54"/>
      <c r="G3" s="54"/>
      <c r="H3" s="54"/>
      <c r="I3" s="54"/>
    </row>
    <row r="4" spans="1:10" x14ac:dyDescent="0.25">
      <c r="A4" s="168"/>
      <c r="B4" s="54"/>
      <c r="C4" s="54"/>
      <c r="D4" s="54"/>
      <c r="E4" s="54"/>
      <c r="F4" s="54"/>
      <c r="G4" s="54"/>
      <c r="H4" s="54"/>
      <c r="I4" s="54"/>
      <c r="J4" s="4"/>
    </row>
    <row r="5" spans="1:10" s="89" customFormat="1" x14ac:dyDescent="0.25">
      <c r="A5" s="173" t="s">
        <v>84</v>
      </c>
      <c r="B5" s="173"/>
      <c r="C5" s="173"/>
      <c r="D5" s="173"/>
      <c r="E5" s="173"/>
    </row>
    <row r="6" spans="1:10" x14ac:dyDescent="0.25">
      <c r="A6" s="67" t="s">
        <v>182</v>
      </c>
      <c r="B6" s="64" t="s">
        <v>265</v>
      </c>
      <c r="C6" s="64" t="s">
        <v>266</v>
      </c>
      <c r="D6" s="64" t="s">
        <v>267</v>
      </c>
      <c r="E6" s="64" t="s">
        <v>82</v>
      </c>
      <c r="I6" s="4"/>
    </row>
    <row r="7" spans="1:10" x14ac:dyDescent="0.25">
      <c r="A7" s="68"/>
      <c r="B7" s="66"/>
      <c r="C7" s="66"/>
      <c r="D7" s="66"/>
      <c r="E7" s="66"/>
      <c r="I7" s="4"/>
    </row>
    <row r="8" spans="1:10" x14ac:dyDescent="0.25">
      <c r="A8" s="25" t="s">
        <v>85</v>
      </c>
      <c r="B8" s="26"/>
      <c r="C8" s="26"/>
      <c r="D8" s="26"/>
      <c r="E8" s="26"/>
      <c r="H8" s="4"/>
    </row>
    <row r="9" spans="1:10" x14ac:dyDescent="0.25">
      <c r="A9" s="26" t="s">
        <v>86</v>
      </c>
      <c r="B9" s="27">
        <f>+'FINANCIAL POSITION'!B13</f>
        <v>4225.6541692994433</v>
      </c>
      <c r="C9" s="27">
        <v>0</v>
      </c>
      <c r="D9" s="27">
        <v>0</v>
      </c>
      <c r="E9" s="27">
        <f t="shared" ref="E9:E16" si="0">SUM(B9:D9)</f>
        <v>4225.6541692994433</v>
      </c>
    </row>
    <row r="10" spans="1:10" x14ac:dyDescent="0.25">
      <c r="A10" s="26" t="s">
        <v>27</v>
      </c>
      <c r="B10" s="27">
        <f>+'FINANCIAL POSITION'!B14</f>
        <v>36.541550399999998</v>
      </c>
      <c r="C10" s="27">
        <v>0</v>
      </c>
      <c r="D10" s="27">
        <v>0</v>
      </c>
      <c r="E10" s="27">
        <f t="shared" si="0"/>
        <v>36.541550399999998</v>
      </c>
    </row>
    <row r="11" spans="1:10" x14ac:dyDescent="0.25">
      <c r="A11" s="26" t="s">
        <v>28</v>
      </c>
      <c r="B11" s="27">
        <v>0</v>
      </c>
      <c r="C11" s="27">
        <v>0</v>
      </c>
      <c r="D11" s="27">
        <v>0</v>
      </c>
      <c r="E11" s="27">
        <f t="shared" si="0"/>
        <v>0</v>
      </c>
    </row>
    <row r="12" spans="1:10" x14ac:dyDescent="0.25">
      <c r="A12" s="26" t="s">
        <v>29</v>
      </c>
      <c r="B12" s="27">
        <v>0</v>
      </c>
      <c r="C12" s="27">
        <v>0</v>
      </c>
      <c r="D12" s="27">
        <v>0</v>
      </c>
      <c r="E12" s="27">
        <f t="shared" si="0"/>
        <v>0</v>
      </c>
    </row>
    <row r="13" spans="1:10" x14ac:dyDescent="0.25">
      <c r="A13" s="26" t="s">
        <v>262</v>
      </c>
      <c r="B13" s="27">
        <f>+'FINANCIAL POSITION'!B21</f>
        <v>6486.2798317500128</v>
      </c>
      <c r="C13" s="27">
        <v>0</v>
      </c>
      <c r="D13" s="27">
        <v>0</v>
      </c>
      <c r="E13" s="27">
        <f t="shared" si="0"/>
        <v>6486.2798317500128</v>
      </c>
    </row>
    <row r="14" spans="1:10" x14ac:dyDescent="0.25">
      <c r="A14" s="26" t="s">
        <v>263</v>
      </c>
      <c r="B14" s="27">
        <f>+'FINANCIAL POSITION'!B22</f>
        <v>42337.914063289398</v>
      </c>
      <c r="C14" s="27">
        <v>0</v>
      </c>
      <c r="D14" s="27">
        <v>0</v>
      </c>
      <c r="E14" s="27">
        <f t="shared" si="0"/>
        <v>42337.914063289398</v>
      </c>
    </row>
    <row r="15" spans="1:10" x14ac:dyDescent="0.25">
      <c r="A15" s="26" t="s">
        <v>264</v>
      </c>
      <c r="B15" s="27">
        <v>0</v>
      </c>
      <c r="C15" s="27">
        <v>0</v>
      </c>
      <c r="D15" s="27">
        <f>2040001/1000000</f>
        <v>2.0400010000000002</v>
      </c>
      <c r="E15" s="27">
        <f t="shared" si="0"/>
        <v>2.0400010000000002</v>
      </c>
    </row>
    <row r="16" spans="1:10" x14ac:dyDescent="0.25">
      <c r="A16" s="26" t="s">
        <v>190</v>
      </c>
      <c r="B16" s="27">
        <v>0</v>
      </c>
      <c r="C16" s="27">
        <v>0</v>
      </c>
      <c r="D16" s="27">
        <v>0</v>
      </c>
      <c r="E16" s="27">
        <f t="shared" si="0"/>
        <v>0</v>
      </c>
    </row>
    <row r="17" spans="1:11" s="2" customFormat="1" x14ac:dyDescent="0.25">
      <c r="A17" s="25" t="s">
        <v>87</v>
      </c>
      <c r="B17" s="28">
        <f>SUM(B9:B16)</f>
        <v>53086.389614738859</v>
      </c>
      <c r="C17" s="28">
        <f>SUM(C9:C16)</f>
        <v>0</v>
      </c>
      <c r="D17" s="28">
        <f>SUM(D9:D16)</f>
        <v>2.0400010000000002</v>
      </c>
      <c r="E17" s="28">
        <f>SUM(E9:E16)</f>
        <v>53088.42961573886</v>
      </c>
    </row>
    <row r="18" spans="1:11" x14ac:dyDescent="0.25">
      <c r="A18" s="77"/>
      <c r="B18" s="78"/>
      <c r="C18" s="78"/>
      <c r="D18" s="78"/>
      <c r="E18" s="78"/>
      <c r="F18" s="78"/>
      <c r="G18" s="78"/>
      <c r="H18" s="78"/>
      <c r="I18" s="78"/>
      <c r="J18" s="4"/>
    </row>
    <row r="19" spans="1:11" x14ac:dyDescent="0.25">
      <c r="A19" s="67" t="s">
        <v>182</v>
      </c>
      <c r="B19" s="64" t="s">
        <v>265</v>
      </c>
      <c r="C19" s="64" t="s">
        <v>266</v>
      </c>
      <c r="D19" s="64" t="s">
        <v>82</v>
      </c>
    </row>
    <row r="20" spans="1:11" x14ac:dyDescent="0.25">
      <c r="A20" s="68"/>
      <c r="B20" s="66"/>
      <c r="C20" s="66"/>
      <c r="D20" s="66"/>
    </row>
    <row r="21" spans="1:11" x14ac:dyDescent="0.25">
      <c r="A21" s="25" t="s">
        <v>88</v>
      </c>
      <c r="B21" s="53"/>
      <c r="C21" s="26"/>
      <c r="D21" s="26"/>
    </row>
    <row r="22" spans="1:11" x14ac:dyDescent="0.25">
      <c r="A22" s="26" t="s">
        <v>37</v>
      </c>
      <c r="B22" s="79">
        <f>+'FINANCIAL POSITION'!B34</f>
        <v>37405.25</v>
      </c>
      <c r="C22" s="27">
        <v>0</v>
      </c>
      <c r="D22" s="27">
        <f t="shared" ref="D22:D29" si="1">SUM(B22:C22)</f>
        <v>37405.25</v>
      </c>
    </row>
    <row r="23" spans="1:11" x14ac:dyDescent="0.25">
      <c r="A23" s="26" t="s">
        <v>29</v>
      </c>
      <c r="B23" s="79">
        <v>0</v>
      </c>
      <c r="C23" s="27">
        <v>0</v>
      </c>
      <c r="D23" s="27">
        <f t="shared" si="1"/>
        <v>0</v>
      </c>
      <c r="K23" s="4"/>
    </row>
    <row r="24" spans="1:11" x14ac:dyDescent="0.25">
      <c r="A24" s="26" t="s">
        <v>272</v>
      </c>
      <c r="B24" s="79"/>
      <c r="C24" s="27"/>
      <c r="D24" s="27"/>
    </row>
    <row r="25" spans="1:11" x14ac:dyDescent="0.25">
      <c r="A25" s="26" t="s">
        <v>273</v>
      </c>
      <c r="B25" s="79">
        <f>+'FINANCIAL POSITION'!B40</f>
        <v>4579.8643565550001</v>
      </c>
      <c r="C25" s="27">
        <v>0</v>
      </c>
      <c r="D25" s="27">
        <f t="shared" si="1"/>
        <v>4579.8643565550001</v>
      </c>
    </row>
    <row r="26" spans="1:11" x14ac:dyDescent="0.25">
      <c r="A26" s="26" t="s">
        <v>274</v>
      </c>
      <c r="B26" s="79">
        <f>+'FINANCIAL POSITION'!B39</f>
        <v>0</v>
      </c>
      <c r="C26" s="27">
        <v>0</v>
      </c>
      <c r="D26" s="27">
        <f t="shared" si="1"/>
        <v>0</v>
      </c>
    </row>
    <row r="27" spans="1:11" x14ac:dyDescent="0.25">
      <c r="A27" s="26" t="s">
        <v>275</v>
      </c>
      <c r="B27" s="79">
        <v>0</v>
      </c>
      <c r="C27" s="27">
        <v>0</v>
      </c>
      <c r="D27" s="27">
        <f t="shared" si="1"/>
        <v>0</v>
      </c>
    </row>
    <row r="28" spans="1:11" x14ac:dyDescent="0.25">
      <c r="A28" s="26" t="s">
        <v>89</v>
      </c>
      <c r="B28" s="79">
        <v>0</v>
      </c>
      <c r="C28" s="27">
        <v>0</v>
      </c>
      <c r="D28" s="27">
        <f t="shared" si="1"/>
        <v>0</v>
      </c>
    </row>
    <row r="29" spans="1:11" x14ac:dyDescent="0.25">
      <c r="A29" s="25" t="s">
        <v>90</v>
      </c>
      <c r="B29" s="80">
        <f>SUM(B22:B28)</f>
        <v>41985.114356555001</v>
      </c>
      <c r="C29" s="80">
        <f>SUM(C22:C28)</f>
        <v>0</v>
      </c>
      <c r="D29" s="28">
        <f t="shared" si="1"/>
        <v>41985.114356555001</v>
      </c>
    </row>
    <row r="30" spans="1:11" s="29" customFormat="1" x14ac:dyDescent="0.25">
      <c r="A30" s="46" t="s">
        <v>270</v>
      </c>
      <c r="B30" s="52"/>
      <c r="C30" s="52"/>
      <c r="D30" s="52"/>
      <c r="E30" s="52"/>
      <c r="F30" s="52"/>
      <c r="G30" s="52"/>
      <c r="H30" s="52"/>
      <c r="I30" s="52"/>
    </row>
    <row r="31" spans="1:11" s="29" customFormat="1" x14ac:dyDescent="0.25">
      <c r="A31" s="46" t="s">
        <v>269</v>
      </c>
      <c r="B31" s="52"/>
      <c r="C31" s="52"/>
      <c r="D31" s="52"/>
      <c r="E31" s="52"/>
      <c r="F31" s="52"/>
      <c r="G31" s="52"/>
      <c r="H31" s="52"/>
      <c r="I31" s="52"/>
    </row>
    <row r="32" spans="1:11" s="29" customFormat="1" x14ac:dyDescent="0.25">
      <c r="A32" s="46" t="s">
        <v>268</v>
      </c>
      <c r="B32" s="52"/>
      <c r="C32" s="52"/>
      <c r="D32" s="52"/>
      <c r="E32" s="52"/>
      <c r="F32" s="52"/>
      <c r="G32" s="52"/>
      <c r="H32" s="52"/>
      <c r="I32" s="52"/>
    </row>
    <row r="33" spans="1:10" s="29" customFormat="1" x14ac:dyDescent="0.25">
      <c r="A33" s="46"/>
      <c r="B33" s="52"/>
      <c r="C33" s="52"/>
      <c r="D33" s="52"/>
      <c r="E33" s="52"/>
      <c r="F33" s="52"/>
      <c r="G33" s="52"/>
      <c r="H33" s="52"/>
      <c r="I33" s="52"/>
    </row>
    <row r="34" spans="1:10" s="29" customFormat="1" x14ac:dyDescent="0.25">
      <c r="A34" s="309" t="s">
        <v>21</v>
      </c>
      <c r="B34" s="309"/>
      <c r="C34" s="309"/>
      <c r="D34" s="309"/>
      <c r="E34" s="309"/>
      <c r="F34" s="54"/>
      <c r="G34" s="54"/>
      <c r="H34" s="54"/>
      <c r="I34" s="54"/>
      <c r="J34" s="52"/>
    </row>
    <row r="35" spans="1:10" s="29" customFormat="1" x14ac:dyDescent="0.25">
      <c r="A35" s="309" t="s">
        <v>91</v>
      </c>
      <c r="B35" s="309"/>
      <c r="C35" s="309"/>
      <c r="D35" s="309"/>
      <c r="E35" s="309"/>
      <c r="F35" s="54"/>
      <c r="G35" s="54"/>
      <c r="H35" s="54"/>
      <c r="I35" s="54"/>
      <c r="J35" s="52"/>
    </row>
    <row r="36" spans="1:10" s="29" customFormat="1" x14ac:dyDescent="0.25">
      <c r="A36" s="309" t="s">
        <v>363</v>
      </c>
      <c r="B36" s="309"/>
      <c r="C36" s="309"/>
      <c r="D36" s="309"/>
      <c r="E36" s="309"/>
      <c r="F36" s="54"/>
      <c r="G36" s="54"/>
      <c r="H36" s="54"/>
      <c r="I36" s="54"/>
      <c r="J36" s="52"/>
    </row>
    <row r="37" spans="1:10" s="309" customFormat="1" x14ac:dyDescent="0.25"/>
    <row r="38" spans="1:10" s="89" customFormat="1" x14ac:dyDescent="0.25">
      <c r="A38" s="173" t="s">
        <v>123</v>
      </c>
      <c r="B38" s="173"/>
      <c r="C38" s="173"/>
      <c r="D38" s="173"/>
      <c r="E38" s="173"/>
    </row>
    <row r="39" spans="1:10" x14ac:dyDescent="0.25">
      <c r="A39" s="67" t="s">
        <v>182</v>
      </c>
      <c r="B39" s="64" t="s">
        <v>265</v>
      </c>
      <c r="C39" s="64" t="s">
        <v>266</v>
      </c>
      <c r="D39" s="64" t="s">
        <v>267</v>
      </c>
      <c r="E39" s="64" t="s">
        <v>82</v>
      </c>
    </row>
    <row r="40" spans="1:10" x14ac:dyDescent="0.25">
      <c r="A40" s="41"/>
      <c r="B40" s="65"/>
      <c r="C40" s="65"/>
      <c r="D40" s="65"/>
      <c r="E40" s="65"/>
    </row>
    <row r="41" spans="1:10" x14ac:dyDescent="0.25">
      <c r="A41" s="25" t="s">
        <v>85</v>
      </c>
      <c r="B41" s="26"/>
      <c r="C41" s="27"/>
      <c r="D41" s="27"/>
      <c r="E41" s="27"/>
    </row>
    <row r="42" spans="1:10" x14ac:dyDescent="0.25">
      <c r="A42" s="26" t="s">
        <v>86</v>
      </c>
      <c r="B42" s="27">
        <f>+'FINANCIAL POSITION'!C13</f>
        <v>26055</v>
      </c>
      <c r="C42" s="27">
        <v>0</v>
      </c>
      <c r="D42" s="27">
        <v>0</v>
      </c>
      <c r="E42" s="27">
        <f>SUM(B42:D42)</f>
        <v>26055</v>
      </c>
    </row>
    <row r="43" spans="1:10" x14ac:dyDescent="0.25">
      <c r="A43" s="26" t="s">
        <v>27</v>
      </c>
      <c r="B43" s="27">
        <f>+'FINANCIAL POSITION'!C14</f>
        <v>123</v>
      </c>
      <c r="C43" s="27">
        <v>0</v>
      </c>
      <c r="D43" s="27">
        <v>0</v>
      </c>
      <c r="E43" s="27">
        <f t="shared" ref="E43:E49" si="2">SUM(B43:D43)</f>
        <v>123</v>
      </c>
    </row>
    <row r="44" spans="1:10" x14ac:dyDescent="0.25">
      <c r="A44" s="26" t="s">
        <v>28</v>
      </c>
      <c r="B44" s="27">
        <v>0</v>
      </c>
      <c r="C44" s="27">
        <v>0</v>
      </c>
      <c r="D44" s="27">
        <v>0</v>
      </c>
      <c r="E44" s="27">
        <f t="shared" si="2"/>
        <v>0</v>
      </c>
    </row>
    <row r="45" spans="1:10" x14ac:dyDescent="0.25">
      <c r="A45" s="26" t="s">
        <v>29</v>
      </c>
      <c r="B45" s="27">
        <v>0</v>
      </c>
      <c r="C45" s="27">
        <v>0</v>
      </c>
      <c r="D45" s="27">
        <v>0</v>
      </c>
      <c r="E45" s="27">
        <f t="shared" si="2"/>
        <v>0</v>
      </c>
    </row>
    <row r="46" spans="1:10" x14ac:dyDescent="0.25">
      <c r="A46" s="26" t="s">
        <v>262</v>
      </c>
      <c r="B46" s="27">
        <f>+'FINANCIAL POSITION'!C22</f>
        <v>13227</v>
      </c>
      <c r="C46" s="27">
        <v>0</v>
      </c>
      <c r="D46" s="27">
        <v>0</v>
      </c>
      <c r="E46" s="27">
        <f t="shared" si="2"/>
        <v>13227</v>
      </c>
    </row>
    <row r="47" spans="1:10" x14ac:dyDescent="0.25">
      <c r="A47" s="26" t="s">
        <v>263</v>
      </c>
      <c r="B47" s="27">
        <f>+'FINANCIAL POSITION'!C22</f>
        <v>13227</v>
      </c>
      <c r="C47" s="27">
        <v>0</v>
      </c>
      <c r="D47" s="27">
        <v>0</v>
      </c>
      <c r="E47" s="27">
        <f t="shared" si="2"/>
        <v>13227</v>
      </c>
    </row>
    <row r="48" spans="1:10" x14ac:dyDescent="0.25">
      <c r="A48" s="26" t="s">
        <v>264</v>
      </c>
      <c r="B48" s="27">
        <v>0</v>
      </c>
      <c r="C48" s="27">
        <v>0</v>
      </c>
      <c r="D48" s="27">
        <f>2040001/1000000</f>
        <v>2.0400010000000002</v>
      </c>
      <c r="E48" s="27">
        <f t="shared" si="2"/>
        <v>2.0400010000000002</v>
      </c>
    </row>
    <row r="49" spans="1:10" x14ac:dyDescent="0.25">
      <c r="A49" s="26" t="s">
        <v>190</v>
      </c>
      <c r="B49" s="27">
        <v>0</v>
      </c>
      <c r="C49" s="27">
        <v>0</v>
      </c>
      <c r="D49" s="27">
        <v>0</v>
      </c>
      <c r="E49" s="27">
        <f t="shared" si="2"/>
        <v>0</v>
      </c>
    </row>
    <row r="50" spans="1:10" s="2" customFormat="1" x14ac:dyDescent="0.25">
      <c r="A50" s="25" t="s">
        <v>87</v>
      </c>
      <c r="B50" s="28">
        <f>SUM(B42:B49)</f>
        <v>52632</v>
      </c>
      <c r="C50" s="28">
        <f>SUM(C42:C49)</f>
        <v>0</v>
      </c>
      <c r="D50" s="28">
        <f>SUM(D42:D49)</f>
        <v>2.0400010000000002</v>
      </c>
      <c r="E50" s="28">
        <f>SUM(E42:E49)</f>
        <v>52634.040001000001</v>
      </c>
    </row>
    <row r="51" spans="1:10" x14ac:dyDescent="0.25">
      <c r="A51" s="77"/>
      <c r="B51" s="78"/>
      <c r="C51" s="78"/>
      <c r="D51" s="78"/>
      <c r="E51" s="78"/>
      <c r="F51" s="78"/>
      <c r="G51" s="78"/>
      <c r="H51" s="78"/>
      <c r="I51" s="78"/>
      <c r="J51" s="4"/>
    </row>
    <row r="52" spans="1:10" x14ac:dyDescent="0.25">
      <c r="A52" s="67" t="s">
        <v>271</v>
      </c>
      <c r="B52" s="64" t="s">
        <v>265</v>
      </c>
      <c r="C52" s="64" t="s">
        <v>266</v>
      </c>
      <c r="D52" s="64" t="s">
        <v>82</v>
      </c>
    </row>
    <row r="53" spans="1:10" x14ac:dyDescent="0.25">
      <c r="A53" s="41"/>
      <c r="B53" s="65"/>
      <c r="C53" s="65"/>
      <c r="D53" s="65"/>
    </row>
    <row r="54" spans="1:10" x14ac:dyDescent="0.25">
      <c r="A54" s="25" t="s">
        <v>88</v>
      </c>
      <c r="B54" s="88"/>
      <c r="C54" s="26"/>
      <c r="D54" s="26"/>
    </row>
    <row r="55" spans="1:10" x14ac:dyDescent="0.25">
      <c r="A55" s="26" t="s">
        <v>37</v>
      </c>
      <c r="B55" s="79">
        <f>+'FINANCIAL POSITION'!C34</f>
        <v>30922</v>
      </c>
      <c r="C55" s="27">
        <v>0</v>
      </c>
      <c r="D55" s="27">
        <f>SUM(B55:C55)</f>
        <v>30922</v>
      </c>
    </row>
    <row r="56" spans="1:10" x14ac:dyDescent="0.25">
      <c r="A56" s="26" t="s">
        <v>29</v>
      </c>
      <c r="B56" s="79">
        <v>0</v>
      </c>
      <c r="C56" s="27">
        <v>0</v>
      </c>
      <c r="D56" s="27">
        <f t="shared" ref="D56:D62" si="3">SUM(B56:C56)</f>
        <v>0</v>
      </c>
    </row>
    <row r="57" spans="1:10" x14ac:dyDescent="0.25">
      <c r="A57" s="26" t="s">
        <v>272</v>
      </c>
      <c r="B57" s="79"/>
      <c r="C57" s="27"/>
      <c r="D57" s="27">
        <f t="shared" si="3"/>
        <v>0</v>
      </c>
    </row>
    <row r="58" spans="1:10" x14ac:dyDescent="0.25">
      <c r="A58" s="26" t="s">
        <v>273</v>
      </c>
      <c r="B58" s="79">
        <f>+'FINANCIAL POSITION'!C40</f>
        <v>4932</v>
      </c>
      <c r="C58" s="27">
        <v>0</v>
      </c>
      <c r="D58" s="27">
        <f t="shared" si="3"/>
        <v>4932</v>
      </c>
    </row>
    <row r="59" spans="1:10" x14ac:dyDescent="0.25">
      <c r="A59" s="26" t="s">
        <v>274</v>
      </c>
      <c r="B59" s="79">
        <f>+'FINANCIAL POSITION'!B72</f>
        <v>0</v>
      </c>
      <c r="C59" s="27">
        <v>0</v>
      </c>
      <c r="D59" s="27">
        <f t="shared" si="3"/>
        <v>0</v>
      </c>
    </row>
    <row r="60" spans="1:10" x14ac:dyDescent="0.25">
      <c r="A60" s="26" t="s">
        <v>275</v>
      </c>
      <c r="B60" s="79">
        <v>0</v>
      </c>
      <c r="C60" s="27">
        <v>0</v>
      </c>
      <c r="D60" s="27">
        <f t="shared" si="3"/>
        <v>0</v>
      </c>
    </row>
    <row r="61" spans="1:10" x14ac:dyDescent="0.25">
      <c r="A61" s="26" t="s">
        <v>89</v>
      </c>
      <c r="B61" s="79">
        <v>0</v>
      </c>
      <c r="C61" s="27">
        <v>0</v>
      </c>
      <c r="D61" s="27">
        <f t="shared" si="3"/>
        <v>0</v>
      </c>
    </row>
    <row r="62" spans="1:10" x14ac:dyDescent="0.25">
      <c r="A62" s="25" t="s">
        <v>90</v>
      </c>
      <c r="B62" s="80">
        <f>SUM(B55:B61)</f>
        <v>35854</v>
      </c>
      <c r="C62" s="80">
        <f>SUM(C55:C61)</f>
        <v>0</v>
      </c>
      <c r="D62" s="28">
        <f t="shared" si="3"/>
        <v>35854</v>
      </c>
    </row>
    <row r="63" spans="1:10" s="29" customFormat="1" x14ac:dyDescent="0.25">
      <c r="A63" s="46" t="s">
        <v>270</v>
      </c>
      <c r="B63" s="52"/>
      <c r="C63" s="52"/>
      <c r="D63" s="52"/>
      <c r="E63" s="52"/>
      <c r="F63" s="52"/>
      <c r="G63" s="52"/>
      <c r="H63" s="52"/>
      <c r="I63" s="52"/>
    </row>
    <row r="64" spans="1:10" s="29" customFormat="1" x14ac:dyDescent="0.25">
      <c r="A64" s="46" t="s">
        <v>269</v>
      </c>
      <c r="B64" s="52"/>
      <c r="C64" s="52"/>
      <c r="D64" s="52"/>
      <c r="E64" s="52"/>
      <c r="F64" s="52"/>
      <c r="G64" s="52"/>
      <c r="H64" s="52"/>
      <c r="I64" s="52"/>
    </row>
    <row r="65" spans="1:9" s="29" customFormat="1" x14ac:dyDescent="0.25">
      <c r="A65" s="46" t="s">
        <v>268</v>
      </c>
      <c r="B65" s="52"/>
      <c r="C65" s="52"/>
      <c r="D65" s="52"/>
      <c r="E65" s="52"/>
      <c r="F65" s="52"/>
      <c r="G65" s="52"/>
      <c r="H65" s="52"/>
      <c r="I65" s="52"/>
    </row>
    <row r="66" spans="1:9" s="52" customFormat="1" x14ac:dyDescent="0.25"/>
    <row r="67" spans="1:9" s="52" customFormat="1" x14ac:dyDescent="0.25">
      <c r="A67" s="309" t="s">
        <v>21</v>
      </c>
      <c r="B67" s="309"/>
      <c r="C67" s="309"/>
      <c r="D67" s="309"/>
      <c r="E67" s="309"/>
      <c r="F67" s="169"/>
      <c r="G67" s="169"/>
      <c r="H67" s="169"/>
      <c r="I67" s="169"/>
    </row>
    <row r="68" spans="1:9" s="52" customFormat="1" x14ac:dyDescent="0.25">
      <c r="A68" s="308" t="s">
        <v>114</v>
      </c>
      <c r="B68" s="309"/>
      <c r="C68" s="309"/>
      <c r="D68" s="309"/>
      <c r="E68" s="309"/>
      <c r="F68" s="169"/>
      <c r="G68" s="169"/>
      <c r="H68" s="169"/>
      <c r="I68" s="169"/>
    </row>
    <row r="69" spans="1:9" s="142" customFormat="1" x14ac:dyDescent="0.25">
      <c r="A69" s="308" t="s">
        <v>355</v>
      </c>
      <c r="B69" s="309"/>
      <c r="C69" s="309"/>
      <c r="D69" s="309"/>
      <c r="E69" s="309"/>
      <c r="F69" s="170"/>
      <c r="G69" s="170"/>
      <c r="H69" s="170"/>
      <c r="I69" s="170"/>
    </row>
    <row r="70" spans="1:9" s="52" customFormat="1" x14ac:dyDescent="0.25">
      <c r="A70" s="367"/>
      <c r="B70" s="368"/>
      <c r="C70" s="368"/>
      <c r="D70" s="368"/>
      <c r="E70" s="368"/>
      <c r="F70" s="368"/>
      <c r="G70" s="368"/>
      <c r="H70" s="368"/>
      <c r="I70" s="368"/>
    </row>
    <row r="71" spans="1:9" s="4" customFormat="1" x14ac:dyDescent="0.25">
      <c r="A71" s="173" t="s">
        <v>132</v>
      </c>
      <c r="B71" s="173"/>
      <c r="C71" s="173"/>
      <c r="D71" s="173"/>
      <c r="E71" s="173"/>
    </row>
    <row r="72" spans="1:9" s="4" customFormat="1" x14ac:dyDescent="0.25">
      <c r="A72" s="104" t="s">
        <v>271</v>
      </c>
      <c r="B72" s="64" t="s">
        <v>265</v>
      </c>
      <c r="C72" s="64" t="s">
        <v>266</v>
      </c>
      <c r="D72" s="64" t="s">
        <v>267</v>
      </c>
      <c r="E72" s="64" t="s">
        <v>82</v>
      </c>
    </row>
    <row r="73" spans="1:9" s="4" customFormat="1" x14ac:dyDescent="0.25">
      <c r="A73" s="105"/>
      <c r="B73" s="106"/>
      <c r="C73" s="106"/>
      <c r="D73" s="106"/>
      <c r="E73" s="106"/>
    </row>
    <row r="74" spans="1:9" s="4" customFormat="1" x14ac:dyDescent="0.25">
      <c r="A74" s="25" t="s">
        <v>85</v>
      </c>
      <c r="B74" s="26"/>
      <c r="C74" s="26"/>
      <c r="D74" s="26"/>
      <c r="E74" s="26"/>
    </row>
    <row r="75" spans="1:9" s="4" customFormat="1" x14ac:dyDescent="0.25">
      <c r="A75" s="26" t="s">
        <v>86</v>
      </c>
      <c r="B75" s="97">
        <f>+'FINANCIAL POSITION'!D13</f>
        <v>84972.157837645995</v>
      </c>
      <c r="C75" s="97"/>
      <c r="D75" s="97"/>
      <c r="E75" s="97">
        <f t="shared" ref="E75:E82" si="4">SUM(B75:D75)</f>
        <v>84972.157837645995</v>
      </c>
    </row>
    <row r="76" spans="1:9" s="4" customFormat="1" x14ac:dyDescent="0.25">
      <c r="A76" s="26" t="s">
        <v>27</v>
      </c>
      <c r="B76" s="97">
        <f>+'FINANCIAL POSITION'!D14</f>
        <v>1949.72941094</v>
      </c>
      <c r="C76" s="97"/>
      <c r="D76" s="97"/>
      <c r="E76" s="97">
        <f t="shared" si="4"/>
        <v>1949.72941094</v>
      </c>
    </row>
    <row r="77" spans="1:9" s="4" customFormat="1" x14ac:dyDescent="0.25">
      <c r="A77" s="26" t="s">
        <v>28</v>
      </c>
      <c r="B77" s="97">
        <f>+'FINANCIAL POSITION'!D15</f>
        <v>246313.803188811</v>
      </c>
      <c r="C77" s="97"/>
      <c r="D77" s="97"/>
      <c r="E77" s="97">
        <f t="shared" si="4"/>
        <v>246313.803188811</v>
      </c>
    </row>
    <row r="78" spans="1:9" s="4" customFormat="1" x14ac:dyDescent="0.25">
      <c r="A78" s="26" t="s">
        <v>29</v>
      </c>
      <c r="B78" s="97"/>
      <c r="C78" s="97"/>
      <c r="D78" s="97"/>
      <c r="E78" s="97">
        <f t="shared" si="4"/>
        <v>0</v>
      </c>
    </row>
    <row r="79" spans="1:9" s="4" customFormat="1" x14ac:dyDescent="0.25">
      <c r="A79" s="26" t="s">
        <v>262</v>
      </c>
      <c r="B79" s="97">
        <f>+'FINANCIAL POSITION'!D21</f>
        <v>1244949.2623377601</v>
      </c>
      <c r="C79" s="97"/>
      <c r="D79" s="97"/>
      <c r="E79" s="97">
        <f t="shared" si="4"/>
        <v>1244949.2623377601</v>
      </c>
    </row>
    <row r="80" spans="1:9" s="4" customFormat="1" x14ac:dyDescent="0.25">
      <c r="A80" s="26" t="s">
        <v>263</v>
      </c>
      <c r="B80" s="97">
        <f>+'FINANCIAL POSITION'!D22</f>
        <v>667672.12141009001</v>
      </c>
      <c r="C80" s="97"/>
      <c r="D80" s="97"/>
      <c r="E80" s="97">
        <f t="shared" si="4"/>
        <v>667672.12141009001</v>
      </c>
    </row>
    <row r="81" spans="1:9" s="4" customFormat="1" x14ac:dyDescent="0.25">
      <c r="A81" s="26" t="s">
        <v>264</v>
      </c>
      <c r="B81" s="97"/>
      <c r="C81" s="97"/>
      <c r="D81" s="97">
        <f>168622492227.45/1000000</f>
        <v>168622.49222745001</v>
      </c>
      <c r="E81" s="97">
        <f t="shared" si="4"/>
        <v>168622.49222745001</v>
      </c>
    </row>
    <row r="82" spans="1:9" s="4" customFormat="1" x14ac:dyDescent="0.25">
      <c r="A82" s="26" t="s">
        <v>190</v>
      </c>
      <c r="B82" s="97"/>
      <c r="C82" s="97"/>
      <c r="D82" s="97"/>
      <c r="E82" s="97">
        <f t="shared" si="4"/>
        <v>0</v>
      </c>
    </row>
    <row r="83" spans="1:9" s="5" customFormat="1" x14ac:dyDescent="0.25">
      <c r="A83" s="25" t="s">
        <v>87</v>
      </c>
      <c r="B83" s="28">
        <f>SUM(B75:B82)</f>
        <v>2245857.0741852471</v>
      </c>
      <c r="C83" s="28">
        <f>SUM(C75:C82)</f>
        <v>0</v>
      </c>
      <c r="D83" s="28">
        <f>SUM(D75:D82)</f>
        <v>168622.49222745001</v>
      </c>
      <c r="E83" s="28">
        <f>SUM(E75:E82)</f>
        <v>2414479.5664126971</v>
      </c>
    </row>
    <row r="84" spans="1:9" s="4" customFormat="1" x14ac:dyDescent="0.25">
      <c r="A84" s="77"/>
      <c r="B84" s="108"/>
      <c r="C84" s="108"/>
      <c r="D84" s="108"/>
      <c r="E84" s="108"/>
      <c r="F84" s="108"/>
      <c r="G84" s="108"/>
      <c r="H84" s="108"/>
      <c r="I84" s="108"/>
    </row>
    <row r="85" spans="1:9" s="4" customFormat="1" x14ac:dyDescent="0.25">
      <c r="A85" s="104" t="s">
        <v>271</v>
      </c>
      <c r="B85" s="64" t="s">
        <v>265</v>
      </c>
      <c r="C85" s="64" t="s">
        <v>266</v>
      </c>
      <c r="D85" s="64" t="s">
        <v>82</v>
      </c>
    </row>
    <row r="86" spans="1:9" s="4" customFormat="1" x14ac:dyDescent="0.25">
      <c r="A86" s="105"/>
      <c r="B86" s="106"/>
      <c r="C86" s="106"/>
      <c r="D86" s="106"/>
    </row>
    <row r="87" spans="1:9" s="4" customFormat="1" x14ac:dyDescent="0.25">
      <c r="A87" s="26" t="s">
        <v>37</v>
      </c>
      <c r="B87" s="69">
        <f>+'FINANCIAL POSITION'!D34</f>
        <v>3442.6616984062498</v>
      </c>
      <c r="C87" s="69"/>
      <c r="D87" s="97">
        <f t="shared" ref="D87:D93" si="5">SUM(B87:C87)</f>
        <v>3442.6616984062498</v>
      </c>
    </row>
    <row r="88" spans="1:9" s="4" customFormat="1" x14ac:dyDescent="0.25">
      <c r="A88" s="26" t="s">
        <v>29</v>
      </c>
      <c r="B88" s="69"/>
      <c r="C88" s="69"/>
      <c r="D88" s="97">
        <f t="shared" si="5"/>
        <v>0</v>
      </c>
    </row>
    <row r="89" spans="1:9" s="4" customFormat="1" x14ac:dyDescent="0.25">
      <c r="A89" s="26" t="s">
        <v>272</v>
      </c>
      <c r="B89" s="69"/>
      <c r="C89" s="69"/>
      <c r="D89" s="97">
        <f t="shared" si="5"/>
        <v>0</v>
      </c>
    </row>
    <row r="90" spans="1:9" s="4" customFormat="1" x14ac:dyDescent="0.25">
      <c r="A90" s="26" t="s">
        <v>273</v>
      </c>
      <c r="B90" s="69">
        <f>+'FINANCIAL POSITION'!D40</f>
        <v>2337942.4946325999</v>
      </c>
      <c r="C90" s="69"/>
      <c r="D90" s="97">
        <f t="shared" si="5"/>
        <v>2337942.4946325999</v>
      </c>
    </row>
    <row r="91" spans="1:9" s="4" customFormat="1" x14ac:dyDescent="0.25">
      <c r="A91" s="26" t="s">
        <v>274</v>
      </c>
      <c r="B91" s="69"/>
      <c r="C91" s="69"/>
      <c r="D91" s="97">
        <f t="shared" si="5"/>
        <v>0</v>
      </c>
    </row>
    <row r="92" spans="1:9" s="4" customFormat="1" x14ac:dyDescent="0.25">
      <c r="A92" s="26" t="s">
        <v>275</v>
      </c>
      <c r="B92" s="69"/>
      <c r="C92" s="69"/>
      <c r="D92" s="97">
        <f t="shared" si="5"/>
        <v>0</v>
      </c>
    </row>
    <row r="93" spans="1:9" s="4" customFormat="1" x14ac:dyDescent="0.25">
      <c r="A93" s="26" t="s">
        <v>89</v>
      </c>
      <c r="B93" s="69"/>
      <c r="C93" s="69"/>
      <c r="D93" s="97">
        <f t="shared" si="5"/>
        <v>0</v>
      </c>
    </row>
    <row r="94" spans="1:9" s="4" customFormat="1" x14ac:dyDescent="0.25">
      <c r="A94" s="25" t="s">
        <v>90</v>
      </c>
      <c r="B94" s="80">
        <f>SUM(B87:B93)</f>
        <v>2341385.156331006</v>
      </c>
      <c r="C94" s="80">
        <f>SUM(C87:C93)</f>
        <v>0</v>
      </c>
      <c r="D94" s="28">
        <f t="shared" ref="D94" si="6">SUM(B94:C94)</f>
        <v>2341385.156331006</v>
      </c>
    </row>
    <row r="95" spans="1:9" s="29" customFormat="1" x14ac:dyDescent="0.25">
      <c r="A95" s="46" t="s">
        <v>270</v>
      </c>
      <c r="B95" s="52"/>
      <c r="C95" s="52"/>
      <c r="D95" s="52"/>
      <c r="E95" s="52"/>
      <c r="F95" s="52"/>
      <c r="G95" s="52"/>
      <c r="H95" s="52"/>
      <c r="I95" s="52"/>
    </row>
    <row r="96" spans="1:9" s="29" customFormat="1" x14ac:dyDescent="0.25">
      <c r="A96" s="46" t="s">
        <v>269</v>
      </c>
      <c r="B96" s="52"/>
      <c r="C96" s="52"/>
      <c r="D96" s="52"/>
      <c r="E96" s="52"/>
      <c r="F96" s="52"/>
      <c r="G96" s="52"/>
      <c r="H96" s="52"/>
      <c r="I96" s="52"/>
    </row>
    <row r="97" spans="1:9" s="29" customFormat="1" x14ac:dyDescent="0.25">
      <c r="A97" s="46" t="s">
        <v>268</v>
      </c>
      <c r="B97" s="52"/>
      <c r="C97" s="52"/>
      <c r="D97" s="52"/>
      <c r="E97" s="52"/>
      <c r="F97" s="52"/>
      <c r="G97" s="52"/>
      <c r="H97" s="52"/>
      <c r="I97" s="52"/>
    </row>
    <row r="98" spans="1:9" s="52" customFormat="1" ht="12.75" customHeight="1" x14ac:dyDescent="0.25">
      <c r="A98" s="109"/>
      <c r="B98" s="110"/>
      <c r="C98" s="110"/>
      <c r="D98" s="110"/>
      <c r="E98" s="110"/>
      <c r="F98" s="110"/>
      <c r="G98" s="110"/>
      <c r="H98" s="110"/>
      <c r="I98" s="110"/>
    </row>
    <row r="99" spans="1:9" s="52" customFormat="1" x14ac:dyDescent="0.25">
      <c r="A99" s="309" t="s">
        <v>21</v>
      </c>
      <c r="B99" s="309"/>
      <c r="C99" s="309"/>
      <c r="D99" s="309"/>
      <c r="E99" s="309"/>
      <c r="F99" s="169"/>
      <c r="G99" s="169"/>
      <c r="H99" s="169"/>
      <c r="I99" s="169"/>
    </row>
    <row r="100" spans="1:9" s="52" customFormat="1" x14ac:dyDescent="0.25">
      <c r="A100" s="309" t="s">
        <v>91</v>
      </c>
      <c r="B100" s="309"/>
      <c r="C100" s="309"/>
      <c r="D100" s="309"/>
      <c r="E100" s="309"/>
      <c r="F100" s="169"/>
      <c r="G100" s="169"/>
      <c r="H100" s="169"/>
      <c r="I100" s="169"/>
    </row>
    <row r="101" spans="1:9" s="52" customFormat="1" x14ac:dyDescent="0.25">
      <c r="A101" s="309" t="s">
        <v>363</v>
      </c>
      <c r="B101" s="309"/>
      <c r="C101" s="309"/>
      <c r="D101" s="309"/>
      <c r="E101" s="309"/>
      <c r="F101" s="169"/>
      <c r="G101" s="169"/>
      <c r="H101" s="169"/>
      <c r="I101" s="169"/>
    </row>
    <row r="102" spans="1:9" s="52" customFormat="1" x14ac:dyDescent="0.25">
      <c r="A102" s="171"/>
      <c r="B102" s="172"/>
      <c r="C102" s="172"/>
      <c r="D102" s="172"/>
      <c r="E102" s="172"/>
      <c r="F102" s="169"/>
      <c r="G102" s="169"/>
      <c r="H102" s="169"/>
      <c r="I102" s="169"/>
    </row>
    <row r="103" spans="1:9" s="4" customFormat="1" x14ac:dyDescent="0.25">
      <c r="A103" s="173" t="s">
        <v>162</v>
      </c>
      <c r="B103" s="173"/>
      <c r="C103" s="173"/>
      <c r="D103" s="173"/>
      <c r="E103" s="173"/>
    </row>
    <row r="104" spans="1:9" s="4" customFormat="1" x14ac:dyDescent="0.25">
      <c r="A104" s="174" t="s">
        <v>271</v>
      </c>
      <c r="B104" s="175" t="s">
        <v>265</v>
      </c>
      <c r="C104" s="175" t="s">
        <v>266</v>
      </c>
      <c r="D104" s="175" t="s">
        <v>267</v>
      </c>
      <c r="E104" s="175" t="s">
        <v>82</v>
      </c>
    </row>
    <row r="105" spans="1:9" s="4" customFormat="1" x14ac:dyDescent="0.25">
      <c r="A105" s="174"/>
      <c r="B105" s="176"/>
      <c r="C105" s="176"/>
      <c r="D105" s="176"/>
      <c r="E105" s="176"/>
    </row>
    <row r="106" spans="1:9" s="4" customFormat="1" x14ac:dyDescent="0.25">
      <c r="A106" s="25" t="s">
        <v>85</v>
      </c>
      <c r="B106" s="26"/>
      <c r="C106" s="26"/>
      <c r="D106" s="26"/>
      <c r="E106" s="26"/>
    </row>
    <row r="107" spans="1:9" s="4" customFormat="1" x14ac:dyDescent="0.25">
      <c r="A107" s="26" t="s">
        <v>86</v>
      </c>
      <c r="B107" s="97">
        <f>+'FINANCIAL POSITION'!E13</f>
        <v>33518</v>
      </c>
      <c r="C107" s="97"/>
      <c r="D107" s="97"/>
      <c r="E107" s="97">
        <f t="shared" ref="E107:E114" si="7">SUM(B107:D107)</f>
        <v>33518</v>
      </c>
    </row>
    <row r="108" spans="1:9" s="4" customFormat="1" x14ac:dyDescent="0.25">
      <c r="A108" s="26" t="s">
        <v>27</v>
      </c>
      <c r="B108" s="97">
        <f>+'FINANCIAL POSITION'!E14</f>
        <v>1389</v>
      </c>
      <c r="C108" s="97"/>
      <c r="D108" s="97"/>
      <c r="E108" s="97">
        <f t="shared" si="7"/>
        <v>1389</v>
      </c>
    </row>
    <row r="109" spans="1:9" s="4" customFormat="1" x14ac:dyDescent="0.25">
      <c r="A109" s="26" t="s">
        <v>28</v>
      </c>
      <c r="B109" s="97">
        <f>+'FINANCIAL POSITION'!E15</f>
        <v>207088</v>
      </c>
      <c r="C109" s="97"/>
      <c r="D109" s="97"/>
      <c r="E109" s="97">
        <f t="shared" si="7"/>
        <v>207088</v>
      </c>
    </row>
    <row r="110" spans="1:9" s="4" customFormat="1" x14ac:dyDescent="0.25">
      <c r="A110" s="26" t="s">
        <v>29</v>
      </c>
      <c r="B110" s="97"/>
      <c r="C110" s="97"/>
      <c r="D110" s="97"/>
      <c r="E110" s="97">
        <f t="shared" si="7"/>
        <v>0</v>
      </c>
    </row>
    <row r="111" spans="1:9" s="4" customFormat="1" x14ac:dyDescent="0.25">
      <c r="A111" s="26" t="s">
        <v>262</v>
      </c>
      <c r="B111" s="97">
        <f>+'FINANCIAL POSITION'!E21</f>
        <v>1213334</v>
      </c>
      <c r="C111" s="97"/>
      <c r="D111" s="97"/>
      <c r="E111" s="97">
        <f t="shared" si="7"/>
        <v>1213334</v>
      </c>
    </row>
    <row r="112" spans="1:9" s="4" customFormat="1" x14ac:dyDescent="0.25">
      <c r="A112" s="26" t="s">
        <v>263</v>
      </c>
      <c r="B112" s="97">
        <f>+'FINANCIAL POSITION'!E22</f>
        <v>590974</v>
      </c>
      <c r="C112" s="97"/>
      <c r="D112" s="97"/>
      <c r="E112" s="97">
        <f t="shared" si="7"/>
        <v>590974</v>
      </c>
    </row>
    <row r="113" spans="1:9" s="4" customFormat="1" x14ac:dyDescent="0.25">
      <c r="A113" s="26" t="s">
        <v>264</v>
      </c>
      <c r="B113" s="97"/>
      <c r="C113" s="97"/>
      <c r="D113" s="97">
        <v>201798</v>
      </c>
      <c r="E113" s="97">
        <f t="shared" si="7"/>
        <v>201798</v>
      </c>
    </row>
    <row r="114" spans="1:9" s="4" customFormat="1" x14ac:dyDescent="0.25">
      <c r="A114" s="26" t="s">
        <v>190</v>
      </c>
      <c r="B114" s="97"/>
      <c r="C114" s="97"/>
      <c r="D114" s="97"/>
      <c r="E114" s="97">
        <f t="shared" si="7"/>
        <v>0</v>
      </c>
    </row>
    <row r="115" spans="1:9" s="5" customFormat="1" x14ac:dyDescent="0.25">
      <c r="A115" s="25" t="s">
        <v>87</v>
      </c>
      <c r="B115" s="28">
        <f>SUM(B107:B114)</f>
        <v>2046303</v>
      </c>
      <c r="C115" s="28">
        <f>SUM(C107:C114)</f>
        <v>0</v>
      </c>
      <c r="D115" s="28">
        <f>SUM(D107:D114)</f>
        <v>201798</v>
      </c>
      <c r="E115" s="28">
        <f>SUM(E107:E114)</f>
        <v>2248101</v>
      </c>
    </row>
    <row r="116" spans="1:9" s="4" customFormat="1" ht="18" customHeight="1" x14ac:dyDescent="0.25">
      <c r="A116" s="77"/>
      <c r="B116" s="108"/>
      <c r="C116" s="108"/>
      <c r="D116" s="108"/>
      <c r="E116" s="108"/>
      <c r="F116" s="108"/>
      <c r="G116" s="108"/>
      <c r="H116" s="108"/>
      <c r="I116" s="108"/>
    </row>
    <row r="117" spans="1:9" s="4" customFormat="1" x14ac:dyDescent="0.25">
      <c r="A117" s="174" t="s">
        <v>271</v>
      </c>
      <c r="B117" s="175" t="s">
        <v>265</v>
      </c>
      <c r="C117" s="175" t="s">
        <v>266</v>
      </c>
      <c r="D117" s="175" t="s">
        <v>82</v>
      </c>
    </row>
    <row r="118" spans="1:9" s="4" customFormat="1" x14ac:dyDescent="0.25">
      <c r="A118" s="174"/>
      <c r="B118" s="301"/>
      <c r="C118" s="176"/>
      <c r="D118" s="176"/>
    </row>
    <row r="119" spans="1:9" s="4" customFormat="1" x14ac:dyDescent="0.25">
      <c r="A119" s="26" t="s">
        <v>37</v>
      </c>
      <c r="B119" s="27">
        <f>+'FINANCIAL POSITION'!E34</f>
        <v>4196</v>
      </c>
      <c r="C119" s="69"/>
      <c r="D119" s="97">
        <f t="shared" ref="D119:D125" si="8">SUM(B119:C119)</f>
        <v>4196</v>
      </c>
    </row>
    <row r="120" spans="1:9" s="4" customFormat="1" x14ac:dyDescent="0.25">
      <c r="A120" s="26" t="s">
        <v>29</v>
      </c>
      <c r="B120" s="27"/>
      <c r="C120" s="69"/>
      <c r="D120" s="97">
        <f t="shared" si="8"/>
        <v>0</v>
      </c>
    </row>
    <row r="121" spans="1:9" s="4" customFormat="1" x14ac:dyDescent="0.25">
      <c r="A121" s="26" t="s">
        <v>272</v>
      </c>
      <c r="B121" s="27"/>
      <c r="C121" s="69"/>
      <c r="D121" s="97">
        <f t="shared" si="8"/>
        <v>0</v>
      </c>
    </row>
    <row r="122" spans="1:9" s="4" customFormat="1" x14ac:dyDescent="0.25">
      <c r="A122" s="26" t="s">
        <v>273</v>
      </c>
      <c r="B122" s="27">
        <f>+'FINANCIAL POSITION'!E40</f>
        <v>2228749</v>
      </c>
      <c r="C122" s="69"/>
      <c r="D122" s="97">
        <f t="shared" si="8"/>
        <v>2228749</v>
      </c>
    </row>
    <row r="123" spans="1:9" s="4" customFormat="1" x14ac:dyDescent="0.25">
      <c r="A123" s="26" t="s">
        <v>274</v>
      </c>
      <c r="B123" s="300"/>
      <c r="C123" s="69"/>
      <c r="D123" s="97">
        <f t="shared" si="8"/>
        <v>0</v>
      </c>
    </row>
    <row r="124" spans="1:9" s="4" customFormat="1" x14ac:dyDescent="0.25">
      <c r="A124" s="26" t="s">
        <v>275</v>
      </c>
      <c r="B124" s="69"/>
      <c r="C124" s="69"/>
      <c r="D124" s="97">
        <f t="shared" si="8"/>
        <v>0</v>
      </c>
    </row>
    <row r="125" spans="1:9" s="4" customFormat="1" x14ac:dyDescent="0.25">
      <c r="A125" s="26" t="s">
        <v>89</v>
      </c>
      <c r="B125" s="69"/>
      <c r="C125" s="69"/>
      <c r="D125" s="97">
        <f t="shared" si="8"/>
        <v>0</v>
      </c>
    </row>
    <row r="126" spans="1:9" s="4" customFormat="1" x14ac:dyDescent="0.25">
      <c r="A126" s="25" t="s">
        <v>90</v>
      </c>
      <c r="B126" s="80">
        <f>SUM(B119:B125)</f>
        <v>2232945</v>
      </c>
      <c r="C126" s="80">
        <f>SUM(C119:C125)</f>
        <v>0</v>
      </c>
      <c r="D126" s="28">
        <f t="shared" ref="D126" si="9">SUM(B126:C126)</f>
        <v>2232945</v>
      </c>
    </row>
    <row r="127" spans="1:9" s="29" customFormat="1" x14ac:dyDescent="0.25">
      <c r="A127" s="46" t="s">
        <v>270</v>
      </c>
      <c r="B127" s="52"/>
      <c r="C127" s="52"/>
      <c r="D127" s="52"/>
      <c r="E127" s="52"/>
      <c r="F127" s="52"/>
      <c r="G127" s="52"/>
      <c r="H127" s="52"/>
      <c r="I127" s="52"/>
    </row>
    <row r="128" spans="1:9" s="29" customFormat="1" x14ac:dyDescent="0.25">
      <c r="A128" s="46" t="s">
        <v>269</v>
      </c>
      <c r="B128" s="52"/>
      <c r="C128" s="52"/>
      <c r="D128" s="52"/>
      <c r="E128" s="52"/>
      <c r="F128" s="52"/>
      <c r="G128" s="52"/>
      <c r="H128" s="52"/>
      <c r="I128" s="52"/>
    </row>
    <row r="129" spans="1:9" s="29" customFormat="1" x14ac:dyDescent="0.25">
      <c r="A129" s="46" t="s">
        <v>268</v>
      </c>
      <c r="B129" s="52"/>
      <c r="C129" s="52"/>
      <c r="D129" s="52"/>
      <c r="E129" s="52"/>
      <c r="F129" s="52"/>
      <c r="G129" s="52"/>
      <c r="H129" s="52"/>
      <c r="I129" s="52"/>
    </row>
    <row r="130" spans="1:9" s="52" customFormat="1" x14ac:dyDescent="0.25">
      <c r="A130" s="109"/>
      <c r="B130" s="110"/>
      <c r="C130" s="110"/>
      <c r="D130" s="110"/>
      <c r="E130" s="110"/>
      <c r="F130" s="110"/>
      <c r="G130" s="110"/>
      <c r="H130" s="110"/>
      <c r="I130" s="110"/>
    </row>
    <row r="131" spans="1:9" s="52" customFormat="1" x14ac:dyDescent="0.25">
      <c r="A131" s="109"/>
      <c r="B131" s="110"/>
      <c r="C131" s="110"/>
      <c r="D131" s="110"/>
      <c r="E131" s="110"/>
      <c r="F131" s="110"/>
      <c r="G131" s="110"/>
      <c r="H131" s="110"/>
      <c r="I131" s="110"/>
    </row>
    <row r="132" spans="1:9" s="52" customFormat="1" x14ac:dyDescent="0.25">
      <c r="A132" s="109"/>
      <c r="B132" s="110"/>
      <c r="C132" s="110"/>
      <c r="D132" s="110"/>
      <c r="E132" s="110"/>
      <c r="F132" s="110"/>
      <c r="G132" s="110"/>
      <c r="H132" s="110"/>
      <c r="I132" s="110"/>
    </row>
    <row r="133" spans="1:9" s="52" customFormat="1" x14ac:dyDescent="0.25">
      <c r="A133" s="109"/>
      <c r="B133" s="110"/>
      <c r="C133" s="110"/>
      <c r="D133" s="110"/>
      <c r="E133" s="110"/>
      <c r="F133" s="110"/>
      <c r="G133" s="110"/>
      <c r="H133" s="110"/>
      <c r="I133" s="110"/>
    </row>
    <row r="134" spans="1:9" s="52" customFormat="1" x14ac:dyDescent="0.25">
      <c r="A134" s="109"/>
      <c r="B134" s="110"/>
      <c r="C134" s="110"/>
      <c r="D134" s="110"/>
      <c r="E134" s="110"/>
      <c r="F134" s="110"/>
      <c r="G134" s="110"/>
      <c r="H134" s="110"/>
      <c r="I134" s="110"/>
    </row>
    <row r="135" spans="1:9" s="4" customFormat="1" x14ac:dyDescent="0.25">
      <c r="A135" s="109"/>
      <c r="B135" s="110"/>
      <c r="C135" s="110"/>
      <c r="D135" s="110"/>
      <c r="E135" s="110"/>
      <c r="F135" s="110"/>
      <c r="G135" s="110"/>
      <c r="H135" s="110"/>
      <c r="I135" s="110"/>
    </row>
    <row r="136" spans="1:9" s="4" customFormat="1" x14ac:dyDescent="0.25"/>
    <row r="137" spans="1:9" s="4" customFormat="1" x14ac:dyDescent="0.25"/>
    <row r="138" spans="1:9" s="4" customFormat="1" x14ac:dyDescent="0.25"/>
    <row r="143" spans="1:9" x14ac:dyDescent="0.25">
      <c r="E143" s="4"/>
    </row>
  </sheetData>
  <mergeCells count="14">
    <mergeCell ref="A36:E36"/>
    <mergeCell ref="A37:XFD37"/>
    <mergeCell ref="A70:I70"/>
    <mergeCell ref="A101:E101"/>
    <mergeCell ref="A1:E1"/>
    <mergeCell ref="A2:E2"/>
    <mergeCell ref="A3:E3"/>
    <mergeCell ref="A34:E34"/>
    <mergeCell ref="A35:E35"/>
    <mergeCell ref="A67:E67"/>
    <mergeCell ref="A68:E68"/>
    <mergeCell ref="A69:E69"/>
    <mergeCell ref="A99:E99"/>
    <mergeCell ref="A100:E100"/>
  </mergeCells>
  <phoneticPr fontId="0" type="noConversion"/>
  <pageMargins left="0.3" right="0.15748031496062992" top="0.62" bottom="1.07" header="0.26" footer="0.31496062992125984"/>
  <pageSetup paperSize="9" scale="70" firstPageNumber="0" orientation="landscape" useFirstPageNumber="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77"/>
  <sheetViews>
    <sheetView topLeftCell="A28" workbookViewId="0">
      <selection activeCell="E4" sqref="E1:F1048576"/>
    </sheetView>
  </sheetViews>
  <sheetFormatPr defaultRowHeight="15" x14ac:dyDescent="0.25"/>
  <cols>
    <col min="1" max="1" width="9.7109375" customWidth="1"/>
    <col min="2" max="2" width="30.85546875" customWidth="1"/>
    <col min="3" max="3" width="11.5703125" customWidth="1"/>
    <col min="4" max="4" width="14.28515625" bestFit="1" customWidth="1"/>
    <col min="5" max="6" width="11" hidden="1" customWidth="1"/>
    <col min="7" max="7" width="16.85546875" hidden="1" customWidth="1"/>
    <col min="8" max="8" width="18" hidden="1" customWidth="1"/>
    <col min="9" max="9" width="17.42578125" style="16" hidden="1" customWidth="1"/>
    <col min="10" max="11" width="16.85546875" hidden="1" customWidth="1"/>
    <col min="12" max="12" width="0" hidden="1" customWidth="1"/>
  </cols>
  <sheetData>
    <row r="1" spans="1:10" s="3" customFormat="1" ht="15.75" x14ac:dyDescent="0.25">
      <c r="A1" s="305" t="s">
        <v>21</v>
      </c>
      <c r="B1" s="306"/>
      <c r="C1" s="306"/>
      <c r="D1" s="306"/>
      <c r="E1" s="306"/>
      <c r="F1" s="306"/>
      <c r="G1" s="167"/>
      <c r="H1" s="167"/>
      <c r="I1" s="167"/>
      <c r="J1" s="4"/>
    </row>
    <row r="2" spans="1:10" s="3" customFormat="1" ht="30" customHeight="1" x14ac:dyDescent="0.25">
      <c r="A2" s="375" t="s">
        <v>278</v>
      </c>
      <c r="B2" s="376"/>
      <c r="C2" s="376"/>
      <c r="D2" s="376"/>
      <c r="E2" s="376"/>
      <c r="F2" s="376"/>
      <c r="G2" s="54"/>
      <c r="H2" s="54"/>
      <c r="I2" s="54"/>
      <c r="J2" s="4"/>
    </row>
    <row r="3" spans="1:10" s="3" customFormat="1" ht="15.75" x14ac:dyDescent="0.25">
      <c r="A3" s="308" t="s">
        <v>355</v>
      </c>
      <c r="B3" s="309"/>
      <c r="C3" s="309"/>
      <c r="D3" s="309"/>
      <c r="E3" s="309"/>
      <c r="F3" s="309"/>
      <c r="G3" s="54"/>
      <c r="H3" s="54"/>
      <c r="I3" s="54"/>
    </row>
    <row r="4" spans="1:10" x14ac:dyDescent="0.25">
      <c r="A4" s="16"/>
      <c r="B4" s="16"/>
      <c r="C4" s="16"/>
      <c r="D4" s="16"/>
      <c r="E4" s="16"/>
      <c r="F4" s="16"/>
    </row>
    <row r="5" spans="1:10" x14ac:dyDescent="0.25">
      <c r="A5" s="180"/>
      <c r="B5" s="181"/>
      <c r="C5" s="377" t="s">
        <v>16</v>
      </c>
      <c r="D5" s="378"/>
      <c r="E5" s="377" t="s">
        <v>25</v>
      </c>
      <c r="F5" s="378"/>
    </row>
    <row r="6" spans="1:10" x14ac:dyDescent="0.25">
      <c r="A6" s="36"/>
      <c r="B6" s="37"/>
      <c r="C6" s="71" t="s">
        <v>17</v>
      </c>
      <c r="D6" s="71" t="s">
        <v>20</v>
      </c>
      <c r="E6" s="71" t="s">
        <v>17</v>
      </c>
      <c r="F6" s="71" t="s">
        <v>20</v>
      </c>
    </row>
    <row r="7" spans="1:10" x14ac:dyDescent="0.25">
      <c r="A7" s="38" t="s">
        <v>182</v>
      </c>
      <c r="B7" s="37"/>
      <c r="C7" s="72" t="s">
        <v>103</v>
      </c>
      <c r="D7" s="72" t="s">
        <v>105</v>
      </c>
      <c r="E7" s="72" t="s">
        <v>103</v>
      </c>
      <c r="F7" s="72" t="s">
        <v>105</v>
      </c>
    </row>
    <row r="8" spans="1:10" x14ac:dyDescent="0.25">
      <c r="A8" s="38"/>
      <c r="B8" s="37"/>
      <c r="C8" s="72" t="s">
        <v>102</v>
      </c>
      <c r="D8" s="72" t="s">
        <v>104</v>
      </c>
      <c r="E8" s="72" t="s">
        <v>102</v>
      </c>
      <c r="F8" s="72" t="s">
        <v>104</v>
      </c>
    </row>
    <row r="9" spans="1:10" x14ac:dyDescent="0.25">
      <c r="A9" s="39"/>
      <c r="B9" s="34"/>
      <c r="C9" s="220" t="s">
        <v>353</v>
      </c>
      <c r="D9" s="220" t="s">
        <v>344</v>
      </c>
      <c r="E9" s="220" t="s">
        <v>321</v>
      </c>
      <c r="F9" s="220" t="s">
        <v>163</v>
      </c>
      <c r="I9" s="17"/>
    </row>
    <row r="10" spans="1:10" x14ac:dyDescent="0.25">
      <c r="A10" s="177" t="s">
        <v>279</v>
      </c>
      <c r="B10" s="34"/>
      <c r="C10" s="286"/>
      <c r="D10" s="286"/>
      <c r="E10" s="286"/>
      <c r="F10" s="73"/>
      <c r="I10" s="17"/>
    </row>
    <row r="11" spans="1:10" x14ac:dyDescent="0.25">
      <c r="A11" s="177" t="s">
        <v>280</v>
      </c>
      <c r="B11" s="34"/>
      <c r="C11" s="286"/>
      <c r="D11" s="286"/>
      <c r="E11" s="286"/>
      <c r="F11" s="73"/>
      <c r="I11" s="17"/>
    </row>
    <row r="12" spans="1:10" x14ac:dyDescent="0.25">
      <c r="A12" s="369" t="s">
        <v>281</v>
      </c>
      <c r="B12" s="370"/>
      <c r="C12" s="287">
        <f>291628118.43/1000000</f>
        <v>291.62811843000003</v>
      </c>
      <c r="D12" s="287">
        <f>766834378.09/1000000</f>
        <v>766.83437809000009</v>
      </c>
      <c r="E12" s="288"/>
      <c r="F12" s="115"/>
      <c r="I12" s="17"/>
    </row>
    <row r="13" spans="1:10" x14ac:dyDescent="0.25">
      <c r="A13" s="369" t="s">
        <v>282</v>
      </c>
      <c r="B13" s="370"/>
      <c r="C13" s="287">
        <v>3386.3460151599998</v>
      </c>
      <c r="D13" s="287">
        <v>2263.3171766433197</v>
      </c>
      <c r="E13" s="288"/>
      <c r="F13" s="115"/>
      <c r="I13" s="17"/>
    </row>
    <row r="14" spans="1:10" x14ac:dyDescent="0.25">
      <c r="A14" s="369" t="s">
        <v>283</v>
      </c>
      <c r="B14" s="370"/>
      <c r="C14" s="287">
        <v>0</v>
      </c>
      <c r="D14" s="287">
        <v>0</v>
      </c>
      <c r="E14" s="288"/>
      <c r="F14" s="115"/>
      <c r="I14" s="17"/>
    </row>
    <row r="15" spans="1:10" x14ac:dyDescent="0.25">
      <c r="A15" s="369" t="s">
        <v>284</v>
      </c>
      <c r="B15" s="370"/>
      <c r="C15" s="287">
        <v>0</v>
      </c>
      <c r="D15" s="287">
        <v>0</v>
      </c>
      <c r="E15" s="288"/>
      <c r="F15" s="115"/>
      <c r="I15" s="17"/>
    </row>
    <row r="16" spans="1:10" x14ac:dyDescent="0.25">
      <c r="A16" s="369" t="s">
        <v>285</v>
      </c>
      <c r="B16" s="370"/>
      <c r="C16" s="287">
        <v>0</v>
      </c>
      <c r="D16" s="287">
        <v>0</v>
      </c>
      <c r="E16" s="288"/>
      <c r="F16" s="115"/>
      <c r="G16" s="224"/>
      <c r="I16" s="17"/>
    </row>
    <row r="17" spans="1:12" x14ac:dyDescent="0.25">
      <c r="A17" s="369" t="s">
        <v>329</v>
      </c>
      <c r="B17" s="370"/>
      <c r="C17" s="291">
        <f>145542379.72/1000000-40500/1000000</f>
        <v>145.50187971999998</v>
      </c>
      <c r="D17" s="291">
        <f>149298161.99/1000000</f>
        <v>149.29816199000001</v>
      </c>
      <c r="E17" s="288"/>
      <c r="F17" s="115"/>
      <c r="I17" s="17"/>
    </row>
    <row r="18" spans="1:12" x14ac:dyDescent="0.25">
      <c r="A18" s="40" t="s">
        <v>286</v>
      </c>
      <c r="B18" s="32"/>
      <c r="C18" s="219">
        <f>SUM(C12:C17)</f>
        <v>3823.4760133099999</v>
      </c>
      <c r="D18" s="219">
        <f>SUM(D12:D17)</f>
        <v>3179.4497167233199</v>
      </c>
      <c r="E18" s="230">
        <f>SUM(E12:E17)</f>
        <v>0</v>
      </c>
      <c r="F18" s="230">
        <f>SUM(F12:F17)</f>
        <v>0</v>
      </c>
      <c r="G18" s="224"/>
      <c r="H18" s="98"/>
      <c r="I18" s="182"/>
      <c r="L18" s="16"/>
    </row>
    <row r="19" spans="1:12" x14ac:dyDescent="0.25">
      <c r="A19" s="178"/>
      <c r="B19" s="179"/>
      <c r="C19" s="212"/>
      <c r="D19" s="212"/>
      <c r="E19" s="212"/>
      <c r="F19" s="213"/>
      <c r="H19" s="98"/>
      <c r="I19" s="112"/>
      <c r="L19" s="16"/>
    </row>
    <row r="20" spans="1:12" x14ac:dyDescent="0.25">
      <c r="A20" s="177" t="s">
        <v>330</v>
      </c>
      <c r="B20" s="34"/>
      <c r="C20" s="288"/>
      <c r="D20" s="288"/>
      <c r="E20" s="288"/>
      <c r="F20" s="115"/>
      <c r="I20" s="17"/>
    </row>
    <row r="21" spans="1:12" x14ac:dyDescent="0.25">
      <c r="A21" s="369" t="s">
        <v>281</v>
      </c>
      <c r="B21" s="370"/>
      <c r="C21" s="288"/>
      <c r="D21" s="288"/>
      <c r="E21" s="288"/>
      <c r="F21" s="115"/>
      <c r="I21" s="17"/>
    </row>
    <row r="22" spans="1:12" x14ac:dyDescent="0.25">
      <c r="A22" s="369" t="s">
        <v>282</v>
      </c>
      <c r="B22" s="370"/>
      <c r="C22" s="287">
        <v>1939.8766917900007</v>
      </c>
      <c r="D22" s="288">
        <f>2151.433539455</f>
        <v>2151.4335394549998</v>
      </c>
      <c r="E22" s="288"/>
      <c r="F22" s="115"/>
      <c r="H22" s="22"/>
      <c r="I22" s="17"/>
    </row>
    <row r="23" spans="1:12" x14ac:dyDescent="0.25">
      <c r="A23" s="369" t="s">
        <v>287</v>
      </c>
      <c r="B23" s="370"/>
      <c r="C23" s="288"/>
      <c r="D23" s="288"/>
      <c r="E23" s="288"/>
      <c r="F23" s="115"/>
      <c r="I23" s="17"/>
    </row>
    <row r="24" spans="1:12" x14ac:dyDescent="0.25">
      <c r="A24" s="369" t="s">
        <v>288</v>
      </c>
      <c r="B24" s="370"/>
      <c r="C24" s="288"/>
      <c r="D24" s="288"/>
      <c r="E24" s="288"/>
      <c r="F24" s="115"/>
      <c r="I24" s="17"/>
    </row>
    <row r="25" spans="1:12" x14ac:dyDescent="0.25">
      <c r="A25" s="369" t="s">
        <v>329</v>
      </c>
      <c r="B25" s="370"/>
      <c r="C25" s="287">
        <f>321326663.46/1000000</f>
        <v>321.32666345999996</v>
      </c>
      <c r="D25" s="287">
        <f>1723551133.285/1000000</f>
        <v>1723.5511332850001</v>
      </c>
      <c r="E25" s="288"/>
      <c r="F25" s="115"/>
      <c r="H25" s="22"/>
      <c r="I25" s="17"/>
    </row>
    <row r="26" spans="1:12" x14ac:dyDescent="0.25">
      <c r="A26" s="40" t="s">
        <v>286</v>
      </c>
      <c r="B26" s="32"/>
      <c r="C26" s="219">
        <f>SUM(C20:C25)</f>
        <v>2261.2033552500006</v>
      </c>
      <c r="D26" s="219">
        <f>SUM(D20:D25)</f>
        <v>3874.98467274</v>
      </c>
      <c r="E26" s="219">
        <f>SUM(E20:E25)</f>
        <v>0</v>
      </c>
      <c r="F26" s="219">
        <f>SUM(F20:F25)</f>
        <v>0</v>
      </c>
      <c r="H26" s="98"/>
      <c r="I26" s="112"/>
      <c r="L26" s="16"/>
    </row>
    <row r="27" spans="1:12" x14ac:dyDescent="0.25">
      <c r="A27" s="178" t="s">
        <v>82</v>
      </c>
      <c r="B27" s="179"/>
      <c r="C27" s="219">
        <f>+C18+C26</f>
        <v>6084.6793685600005</v>
      </c>
      <c r="D27" s="219">
        <f>+D18+D26</f>
        <v>7054.4343894633203</v>
      </c>
      <c r="E27" s="219">
        <f>+E18+E26</f>
        <v>0</v>
      </c>
      <c r="F27" s="219">
        <f>+F18+F26</f>
        <v>0</v>
      </c>
      <c r="H27" s="98"/>
      <c r="I27" s="112"/>
      <c r="L27" s="16"/>
    </row>
    <row r="28" spans="1:12" x14ac:dyDescent="0.25">
      <c r="A28" s="184"/>
      <c r="B28" s="183"/>
      <c r="C28" s="289"/>
      <c r="D28" s="289"/>
      <c r="E28" s="289"/>
      <c r="F28" s="116"/>
    </row>
    <row r="29" spans="1:12" x14ac:dyDescent="0.25">
      <c r="A29" s="177" t="s">
        <v>289</v>
      </c>
      <c r="B29" s="34"/>
      <c r="C29" s="288"/>
      <c r="D29" s="288"/>
      <c r="E29" s="288"/>
      <c r="F29" s="115"/>
    </row>
    <row r="30" spans="1:12" x14ac:dyDescent="0.25">
      <c r="A30" s="177" t="s">
        <v>280</v>
      </c>
      <c r="B30" s="34"/>
      <c r="C30" s="288"/>
      <c r="D30" s="288"/>
      <c r="E30" s="288"/>
      <c r="F30" s="115"/>
      <c r="I30" s="16" t="s">
        <v>364</v>
      </c>
      <c r="J30" t="s">
        <v>365</v>
      </c>
      <c r="K30" t="s">
        <v>366</v>
      </c>
    </row>
    <row r="31" spans="1:12" x14ac:dyDescent="0.25">
      <c r="A31" s="369" t="s">
        <v>287</v>
      </c>
      <c r="B31" s="370"/>
      <c r="C31" s="287"/>
      <c r="D31" s="287"/>
      <c r="E31" s="287"/>
      <c r="F31" s="210"/>
      <c r="H31" t="s">
        <v>342</v>
      </c>
      <c r="I31" s="16" t="s">
        <v>350</v>
      </c>
      <c r="J31" s="16" t="s">
        <v>350</v>
      </c>
      <c r="K31" s="16" t="s">
        <v>350</v>
      </c>
    </row>
    <row r="32" spans="1:12" x14ac:dyDescent="0.25">
      <c r="A32" s="369" t="s">
        <v>288</v>
      </c>
      <c r="B32" s="370"/>
      <c r="C32" s="287"/>
      <c r="D32" s="287">
        <v>0</v>
      </c>
      <c r="E32" s="287"/>
      <c r="F32" s="210"/>
      <c r="G32" t="s">
        <v>359</v>
      </c>
      <c r="H32" s="222">
        <v>543200</v>
      </c>
      <c r="I32" s="302">
        <v>40500</v>
      </c>
      <c r="J32" s="223">
        <v>40500</v>
      </c>
      <c r="K32" s="224">
        <f>+I32-J32</f>
        <v>0</v>
      </c>
    </row>
    <row r="33" spans="1:11" x14ac:dyDescent="0.25">
      <c r="A33" s="369" t="s">
        <v>290</v>
      </c>
      <c r="B33" s="370"/>
      <c r="C33" s="287">
        <f>1188523038.41/1000000</f>
        <v>1188.52303841</v>
      </c>
      <c r="D33" s="287">
        <f>193709270.27/1000000</f>
        <v>193.70927027000002</v>
      </c>
      <c r="E33" s="287"/>
      <c r="F33" s="210"/>
      <c r="G33" t="s">
        <v>356</v>
      </c>
      <c r="H33" s="222">
        <v>206992469.88999999</v>
      </c>
      <c r="I33" s="302">
        <v>302651688.18000001</v>
      </c>
      <c r="J33" s="111">
        <v>283516400.43000001</v>
      </c>
      <c r="K33" s="224">
        <f t="shared" ref="K33:K35" si="0">+I33-J33</f>
        <v>19135287.75</v>
      </c>
    </row>
    <row r="34" spans="1:11" x14ac:dyDescent="0.25">
      <c r="A34" s="369" t="s">
        <v>331</v>
      </c>
      <c r="B34" s="370"/>
      <c r="C34" s="287"/>
      <c r="D34" s="287"/>
      <c r="E34" s="287"/>
      <c r="F34" s="210"/>
      <c r="G34" t="s">
        <v>357</v>
      </c>
      <c r="H34" s="222">
        <v>6868926071</v>
      </c>
      <c r="I34" s="302">
        <v>5793799452.8400002</v>
      </c>
      <c r="J34" s="111">
        <v>3551731385.3400002</v>
      </c>
      <c r="K34" s="224">
        <f t="shared" si="0"/>
        <v>2242068067.5</v>
      </c>
    </row>
    <row r="35" spans="1:11" x14ac:dyDescent="0.25">
      <c r="A35" s="369" t="s">
        <v>332</v>
      </c>
      <c r="B35" s="370"/>
      <c r="C35" s="287"/>
      <c r="D35" s="287"/>
      <c r="E35" s="287"/>
      <c r="F35" s="210"/>
      <c r="G35" t="s">
        <v>358</v>
      </c>
      <c r="H35" s="222">
        <v>22027351.379999999</v>
      </c>
      <c r="I35" s="302">
        <v>11771772.460000001</v>
      </c>
      <c r="J35" s="111">
        <v>11771772.460000001</v>
      </c>
      <c r="K35" s="224">
        <f t="shared" si="0"/>
        <v>0</v>
      </c>
    </row>
    <row r="36" spans="1:11" x14ac:dyDescent="0.25">
      <c r="A36" s="369" t="s">
        <v>333</v>
      </c>
      <c r="B36" s="370"/>
      <c r="C36" s="287"/>
      <c r="D36" s="287"/>
      <c r="E36" s="287"/>
      <c r="F36" s="210"/>
      <c r="H36" s="222">
        <f>+H33+H34-H35+H32</f>
        <v>7054434389.5100002</v>
      </c>
      <c r="I36" s="222">
        <f>+I33+I34-I35+I32</f>
        <v>6084719868.5600004</v>
      </c>
      <c r="J36" s="111">
        <f>+J33+J34-J35+J32</f>
        <v>3823516513.3099999</v>
      </c>
      <c r="K36" s="224">
        <f>+I36-J36</f>
        <v>2261203355.2500005</v>
      </c>
    </row>
    <row r="37" spans="1:11" x14ac:dyDescent="0.25">
      <c r="A37" s="40" t="s">
        <v>286</v>
      </c>
      <c r="B37" s="32"/>
      <c r="C37" s="230">
        <f>SUM(C31:C36)</f>
        <v>1188.52303841</v>
      </c>
      <c r="D37" s="230">
        <f>SUM(D31:D36)</f>
        <v>193.70927027000002</v>
      </c>
      <c r="E37" s="230">
        <f>SUM(E31:E35)</f>
        <v>0</v>
      </c>
      <c r="F37" s="230">
        <f>SUM(F31:F35)</f>
        <v>0</v>
      </c>
    </row>
    <row r="38" spans="1:11" x14ac:dyDescent="0.25">
      <c r="A38" s="379"/>
      <c r="B38" s="380"/>
      <c r="C38" s="212"/>
      <c r="D38" s="212"/>
      <c r="E38" s="212"/>
      <c r="F38" s="213"/>
    </row>
    <row r="39" spans="1:11" x14ac:dyDescent="0.25">
      <c r="A39" s="177" t="s">
        <v>330</v>
      </c>
      <c r="B39" s="34"/>
      <c r="C39" s="288"/>
      <c r="D39" s="288"/>
      <c r="E39" s="288"/>
      <c r="F39" s="115"/>
    </row>
    <row r="40" spans="1:11" x14ac:dyDescent="0.25">
      <c r="A40" s="369" t="s">
        <v>287</v>
      </c>
      <c r="B40" s="370"/>
      <c r="C40" s="287"/>
      <c r="D40" s="287"/>
      <c r="E40" s="288"/>
      <c r="F40" s="115"/>
    </row>
    <row r="41" spans="1:11" x14ac:dyDescent="0.25">
      <c r="A41" s="369" t="s">
        <v>288</v>
      </c>
      <c r="B41" s="370"/>
      <c r="C41" s="287"/>
      <c r="D41" s="287"/>
      <c r="E41" s="288"/>
      <c r="F41" s="115"/>
    </row>
    <row r="42" spans="1:11" x14ac:dyDescent="0.25">
      <c r="A42" s="383" t="s">
        <v>290</v>
      </c>
      <c r="B42" s="384"/>
      <c r="C42" s="287"/>
      <c r="D42" s="287"/>
      <c r="E42" s="288"/>
      <c r="F42" s="115"/>
    </row>
    <row r="43" spans="1:11" x14ac:dyDescent="0.25">
      <c r="A43" s="369" t="s">
        <v>331</v>
      </c>
      <c r="B43" s="370"/>
      <c r="C43" s="287">
        <f>818382352.941177/1000000</f>
        <v>818.38235294117703</v>
      </c>
      <c r="D43" s="287">
        <f>1143909411.76471/1000000</f>
        <v>1143.9094117647101</v>
      </c>
      <c r="E43" s="288"/>
      <c r="F43" s="115"/>
    </row>
    <row r="44" spans="1:11" x14ac:dyDescent="0.25">
      <c r="A44" s="369" t="s">
        <v>332</v>
      </c>
      <c r="B44" s="370"/>
      <c r="C44" s="287">
        <f>1962889184.40882/1000000</f>
        <v>1962.8891844088198</v>
      </c>
      <c r="D44" s="287">
        <f>2006470588.23529/1000000</f>
        <v>2006.4705882352901</v>
      </c>
      <c r="E44" s="288"/>
      <c r="F44" s="115"/>
    </row>
    <row r="45" spans="1:11" x14ac:dyDescent="0.25">
      <c r="A45" s="369" t="s">
        <v>333</v>
      </c>
      <c r="B45" s="370"/>
      <c r="C45" s="287"/>
      <c r="D45" s="287"/>
      <c r="E45" s="288"/>
      <c r="F45" s="115"/>
    </row>
    <row r="46" spans="1:11" x14ac:dyDescent="0.25">
      <c r="A46" s="40" t="s">
        <v>286</v>
      </c>
      <c r="B46" s="32"/>
      <c r="C46" s="211">
        <f>SUM(C40:C45)</f>
        <v>2781.2715373499968</v>
      </c>
      <c r="D46" s="211">
        <f>SUM(D39:D44)</f>
        <v>3150.38</v>
      </c>
      <c r="E46" s="211">
        <f>SUM(E39:E44)</f>
        <v>0</v>
      </c>
      <c r="F46" s="211">
        <f>SUM(F39:F44)</f>
        <v>0</v>
      </c>
    </row>
    <row r="47" spans="1:11" ht="15.75" thickBot="1" x14ac:dyDescent="0.3">
      <c r="A47" s="185" t="s">
        <v>82</v>
      </c>
      <c r="B47" s="186"/>
      <c r="C47" s="214">
        <f>+C37+C46</f>
        <v>3969.7945757599969</v>
      </c>
      <c r="D47" s="214">
        <f>+D37+D46</f>
        <v>3344.0892702700003</v>
      </c>
      <c r="E47" s="214">
        <f>+E37+E46</f>
        <v>0</v>
      </c>
      <c r="F47" s="214">
        <f>+F37+F46</f>
        <v>0</v>
      </c>
    </row>
    <row r="48" spans="1:11" x14ac:dyDescent="0.25">
      <c r="A48" s="381"/>
      <c r="B48" s="382"/>
      <c r="C48" s="212"/>
      <c r="D48" s="216"/>
      <c r="E48" s="216"/>
      <c r="F48" s="217"/>
    </row>
    <row r="49" spans="1:8" x14ac:dyDescent="0.25">
      <c r="A49" s="371" t="s">
        <v>291</v>
      </c>
      <c r="B49" s="372"/>
      <c r="C49" s="288"/>
      <c r="D49" s="288"/>
      <c r="E49" s="288"/>
      <c r="F49" s="115"/>
    </row>
    <row r="50" spans="1:8" x14ac:dyDescent="0.25">
      <c r="A50" s="371" t="s">
        <v>292</v>
      </c>
      <c r="B50" s="372"/>
      <c r="C50" s="288"/>
      <c r="D50" s="288"/>
      <c r="E50" s="288"/>
      <c r="F50" s="115"/>
    </row>
    <row r="51" spans="1:8" x14ac:dyDescent="0.25">
      <c r="A51" s="371" t="s">
        <v>293</v>
      </c>
      <c r="B51" s="372"/>
      <c r="C51" s="288"/>
      <c r="D51" s="288"/>
      <c r="E51" s="288"/>
      <c r="F51" s="115"/>
    </row>
    <row r="52" spans="1:8" x14ac:dyDescent="0.25">
      <c r="A52" s="371" t="s">
        <v>294</v>
      </c>
      <c r="B52" s="372"/>
      <c r="C52" s="288"/>
      <c r="D52" s="288"/>
      <c r="E52" s="288"/>
      <c r="F52" s="115"/>
    </row>
    <row r="53" spans="1:8" x14ac:dyDescent="0.25">
      <c r="A53" s="369" t="s">
        <v>295</v>
      </c>
      <c r="B53" s="370"/>
      <c r="C53" s="287">
        <f>+C63</f>
        <v>6.4295583804873351</v>
      </c>
      <c r="D53" s="287">
        <f>+D63</f>
        <v>43.195867</v>
      </c>
      <c r="E53" s="288"/>
      <c r="F53" s="115"/>
    </row>
    <row r="54" spans="1:8" x14ac:dyDescent="0.25">
      <c r="A54" s="369" t="s">
        <v>297</v>
      </c>
      <c r="B54" s="370"/>
      <c r="C54" s="287">
        <f>+C69</f>
        <v>0</v>
      </c>
      <c r="D54" s="287">
        <f>+D69</f>
        <v>0.2901069999999919</v>
      </c>
      <c r="E54" s="288"/>
      <c r="F54" s="115"/>
    </row>
    <row r="55" spans="1:8" x14ac:dyDescent="0.25">
      <c r="A55" s="369" t="s">
        <v>296</v>
      </c>
      <c r="B55" s="370"/>
      <c r="C55" s="287">
        <f>+C75</f>
        <v>65.509849444499991</v>
      </c>
      <c r="D55" s="287">
        <f>+D75</f>
        <v>234.73412000000002</v>
      </c>
      <c r="E55" s="288"/>
      <c r="F55" s="115"/>
    </row>
    <row r="56" spans="1:8" x14ac:dyDescent="0.25">
      <c r="A56" s="40" t="s">
        <v>299</v>
      </c>
      <c r="B56" s="32"/>
      <c r="C56" s="211"/>
      <c r="D56" s="211"/>
      <c r="E56" s="211"/>
      <c r="F56" s="211"/>
    </row>
    <row r="57" spans="1:8" ht="15.75" thickBot="1" x14ac:dyDescent="0.3">
      <c r="A57" s="185" t="s">
        <v>298</v>
      </c>
      <c r="B57" s="186"/>
      <c r="C57" s="215">
        <f>+C27+C47-C53-C54-C55</f>
        <v>9982.5345364950117</v>
      </c>
      <c r="D57" s="215">
        <f>+D27+D47-D53-D54-D55</f>
        <v>10120.30356573332</v>
      </c>
      <c r="E57" s="214">
        <f>SUM(E53:E56)</f>
        <v>0</v>
      </c>
      <c r="F57" s="215">
        <f>SUM(F53:F56)</f>
        <v>0</v>
      </c>
    </row>
    <row r="58" spans="1:8" x14ac:dyDescent="0.25">
      <c r="A58" s="373" t="s">
        <v>300</v>
      </c>
      <c r="B58" s="374"/>
      <c r="C58" s="290"/>
      <c r="D58" s="290"/>
      <c r="E58" s="288"/>
      <c r="F58" s="218"/>
    </row>
    <row r="59" spans="1:8" x14ac:dyDescent="0.25">
      <c r="A59" s="371" t="s">
        <v>301</v>
      </c>
      <c r="B59" s="372"/>
      <c r="C59" s="288">
        <f>746504/1000000+42449363/1000000</f>
        <v>43.195867</v>
      </c>
      <c r="D59" s="288">
        <f>2922166/1000000+4305189/1000000</f>
        <v>7.2273550000000002</v>
      </c>
      <c r="E59" s="288"/>
      <c r="F59" s="115"/>
    </row>
    <row r="60" spans="1:8" x14ac:dyDescent="0.25">
      <c r="A60" s="369" t="s">
        <v>302</v>
      </c>
      <c r="B60" s="370"/>
      <c r="C60" s="287">
        <f>10786/1000000</f>
        <v>1.0786E-2</v>
      </c>
      <c r="D60" s="287">
        <f>38144.174/1000</f>
        <v>38.144174</v>
      </c>
      <c r="E60" s="288"/>
      <c r="F60" s="115"/>
    </row>
    <row r="61" spans="1:8" x14ac:dyDescent="0.25">
      <c r="A61" s="369" t="s">
        <v>303</v>
      </c>
      <c r="B61" s="370"/>
      <c r="C61" s="287">
        <f>-36920278/1000000</f>
        <v>-36.920278000000003</v>
      </c>
      <c r="D61" s="287">
        <f>-2175662/1000000</f>
        <v>-2.175662</v>
      </c>
      <c r="E61" s="288"/>
      <c r="F61" s="115"/>
    </row>
    <row r="62" spans="1:8" x14ac:dyDescent="0.25">
      <c r="A62" s="369" t="s">
        <v>304</v>
      </c>
      <c r="B62" s="370"/>
      <c r="C62" s="287">
        <v>0.14318338048733537</v>
      </c>
      <c r="D62" s="287">
        <v>0</v>
      </c>
      <c r="E62" s="288"/>
      <c r="F62" s="115"/>
      <c r="G62" s="292"/>
    </row>
    <row r="63" spans="1:8" ht="13.5" customHeight="1" x14ac:dyDescent="0.25">
      <c r="A63" s="369" t="s">
        <v>360</v>
      </c>
      <c r="B63" s="370"/>
      <c r="C63" s="288">
        <f>SUM(C59:C62)</f>
        <v>6.4295583804873351</v>
      </c>
      <c r="D63" s="288">
        <f>SUM(D59:D62)</f>
        <v>43.195867</v>
      </c>
      <c r="E63" s="287">
        <f>SUM(E60:E62)</f>
        <v>0</v>
      </c>
      <c r="F63" s="210">
        <f>SUM(F60:F62)</f>
        <v>0</v>
      </c>
      <c r="G63" s="292"/>
      <c r="H63" s="224"/>
    </row>
    <row r="64" spans="1:8" x14ac:dyDescent="0.25">
      <c r="A64" s="369"/>
      <c r="B64" s="370"/>
      <c r="C64" s="288"/>
      <c r="D64" s="288"/>
      <c r="E64" s="288"/>
      <c r="F64" s="115"/>
    </row>
    <row r="65" spans="1:8" x14ac:dyDescent="0.25">
      <c r="A65" s="371" t="s">
        <v>305</v>
      </c>
      <c r="B65" s="372"/>
      <c r="C65" s="288">
        <f>290107/1000000</f>
        <v>0.290107</v>
      </c>
      <c r="D65" s="287">
        <f>80506317/1000000</f>
        <v>80.506316999999996</v>
      </c>
      <c r="E65" s="288"/>
      <c r="F65" s="115"/>
    </row>
    <row r="66" spans="1:8" x14ac:dyDescent="0.25">
      <c r="A66" s="369" t="s">
        <v>302</v>
      </c>
      <c r="B66" s="370"/>
      <c r="C66" s="287">
        <f>-290107/1000000</f>
        <v>-0.290107</v>
      </c>
      <c r="D66" s="287">
        <f>-80216210/1000000</f>
        <v>-80.216210000000004</v>
      </c>
      <c r="E66" s="288"/>
      <c r="F66" s="115"/>
    </row>
    <row r="67" spans="1:8" x14ac:dyDescent="0.25">
      <c r="A67" s="369" t="s">
        <v>303</v>
      </c>
      <c r="B67" s="370"/>
      <c r="C67" s="288">
        <v>0</v>
      </c>
      <c r="D67" s="288">
        <v>0</v>
      </c>
      <c r="E67" s="288"/>
      <c r="F67" s="115"/>
    </row>
    <row r="68" spans="1:8" x14ac:dyDescent="0.25">
      <c r="A68" s="369" t="s">
        <v>304</v>
      </c>
      <c r="B68" s="370"/>
      <c r="C68" s="287">
        <v>0</v>
      </c>
      <c r="D68" s="287">
        <v>0</v>
      </c>
      <c r="E68" s="288"/>
      <c r="F68" s="115"/>
    </row>
    <row r="69" spans="1:8" x14ac:dyDescent="0.25">
      <c r="A69" s="369" t="s">
        <v>360</v>
      </c>
      <c r="B69" s="370"/>
      <c r="C69" s="288">
        <f>SUM(C65:C68)</f>
        <v>0</v>
      </c>
      <c r="D69" s="288">
        <f>SUM(D65:D68)</f>
        <v>0.2901069999999919</v>
      </c>
      <c r="E69" s="287">
        <f>SUM(E66:E68)</f>
        <v>0</v>
      </c>
      <c r="F69" s="210">
        <f>SUM(F66:F68)</f>
        <v>0</v>
      </c>
    </row>
    <row r="70" spans="1:8" x14ac:dyDescent="0.25">
      <c r="A70" s="369"/>
      <c r="B70" s="370"/>
      <c r="C70" s="288"/>
      <c r="D70" s="288"/>
      <c r="E70" s="288"/>
      <c r="F70" s="115"/>
    </row>
    <row r="71" spans="1:8" x14ac:dyDescent="0.25">
      <c r="A71" s="371" t="s">
        <v>306</v>
      </c>
      <c r="B71" s="372"/>
      <c r="C71" s="288">
        <f>234734120/1000000</f>
        <v>234.73411999999999</v>
      </c>
      <c r="D71" s="288">
        <f>96266062/1000000</f>
        <v>96.266062000000005</v>
      </c>
      <c r="E71" s="288"/>
      <c r="F71" s="115"/>
    </row>
    <row r="72" spans="1:8" x14ac:dyDescent="0.25">
      <c r="A72" s="369" t="s">
        <v>302</v>
      </c>
      <c r="B72" s="370"/>
      <c r="C72" s="288">
        <v>-169.2242705555</v>
      </c>
      <c r="D72" s="288">
        <v>0</v>
      </c>
      <c r="E72" s="288"/>
      <c r="F72" s="115"/>
    </row>
    <row r="73" spans="1:8" x14ac:dyDescent="0.25">
      <c r="A73" s="369" t="s">
        <v>303</v>
      </c>
      <c r="B73" s="370"/>
      <c r="C73" s="288">
        <v>0</v>
      </c>
      <c r="D73" s="288">
        <v>0</v>
      </c>
      <c r="E73" s="288"/>
      <c r="F73" s="115"/>
    </row>
    <row r="74" spans="1:8" x14ac:dyDescent="0.25">
      <c r="A74" s="369" t="s">
        <v>304</v>
      </c>
      <c r="B74" s="370"/>
      <c r="C74" s="288">
        <v>0</v>
      </c>
      <c r="D74" s="287">
        <f>138468058/1000000</f>
        <v>138.46805800000001</v>
      </c>
      <c r="E74" s="288"/>
      <c r="F74" s="115"/>
    </row>
    <row r="75" spans="1:8" x14ac:dyDescent="0.25">
      <c r="A75" s="369" t="s">
        <v>360</v>
      </c>
      <c r="B75" s="370"/>
      <c r="C75" s="288">
        <f>SUM(C71:C74)</f>
        <v>65.509849444499991</v>
      </c>
      <c r="D75" s="288">
        <f>SUM(D71:D74)</f>
        <v>234.73412000000002</v>
      </c>
      <c r="E75" s="287">
        <f>SUM(E72:E74)</f>
        <v>0</v>
      </c>
      <c r="F75" s="210">
        <f>SUM(F72:F74)</f>
        <v>0</v>
      </c>
      <c r="G75" s="292"/>
      <c r="H75" s="22"/>
    </row>
    <row r="76" spans="1:8" x14ac:dyDescent="0.25">
      <c r="A76" s="369"/>
      <c r="B76" s="370"/>
      <c r="C76" s="288"/>
      <c r="D76" s="288"/>
      <c r="E76" s="288"/>
      <c r="F76" s="115"/>
      <c r="H76" s="224"/>
    </row>
    <row r="77" spans="1:8" ht="15.75" thickBot="1" x14ac:dyDescent="0.3">
      <c r="A77" s="188" t="s">
        <v>307</v>
      </c>
      <c r="B77" s="187"/>
      <c r="C77" s="214">
        <f>+C63+C69+C75</f>
        <v>71.939407824987327</v>
      </c>
      <c r="D77" s="214">
        <f>+D63+D69+D75</f>
        <v>278.22009400000002</v>
      </c>
      <c r="E77" s="214">
        <f>+E63+E69+E75</f>
        <v>0</v>
      </c>
      <c r="F77" s="214">
        <f>+F63+F69+F75</f>
        <v>0</v>
      </c>
    </row>
  </sheetData>
  <mergeCells count="56">
    <mergeCell ref="A52:B52"/>
    <mergeCell ref="A44:B44"/>
    <mergeCell ref="A38:B38"/>
    <mergeCell ref="A48:B48"/>
    <mergeCell ref="A49:B49"/>
    <mergeCell ref="A40:B40"/>
    <mergeCell ref="A41:B41"/>
    <mergeCell ref="A42:B42"/>
    <mergeCell ref="A43:B43"/>
    <mergeCell ref="A45:B45"/>
    <mergeCell ref="A33:B33"/>
    <mergeCell ref="A34:B34"/>
    <mergeCell ref="A35:B35"/>
    <mergeCell ref="A50:B50"/>
    <mergeCell ref="A51:B51"/>
    <mergeCell ref="A36:B36"/>
    <mergeCell ref="A1:F1"/>
    <mergeCell ref="A3:F3"/>
    <mergeCell ref="C5:D5"/>
    <mergeCell ref="E5:F5"/>
    <mergeCell ref="A12:B12"/>
    <mergeCell ref="A55:B55"/>
    <mergeCell ref="A53:B53"/>
    <mergeCell ref="A54:B54"/>
    <mergeCell ref="A17:B17"/>
    <mergeCell ref="A2:F2"/>
    <mergeCell ref="A13:B13"/>
    <mergeCell ref="A14:B14"/>
    <mergeCell ref="A15:B15"/>
    <mergeCell ref="A16:B16"/>
    <mergeCell ref="A21:B21"/>
    <mergeCell ref="A22:B22"/>
    <mergeCell ref="A25:B25"/>
    <mergeCell ref="A23:B23"/>
    <mergeCell ref="A24:B24"/>
    <mergeCell ref="A31:B31"/>
    <mergeCell ref="A32:B32"/>
    <mergeCell ref="A58:B58"/>
    <mergeCell ref="A59:B59"/>
    <mergeCell ref="A60:B60"/>
    <mergeCell ref="A61:B61"/>
    <mergeCell ref="A63:B63"/>
    <mergeCell ref="A62:B62"/>
    <mergeCell ref="A64:B64"/>
    <mergeCell ref="A65:B65"/>
    <mergeCell ref="A66:B66"/>
    <mergeCell ref="A67:B67"/>
    <mergeCell ref="A68:B68"/>
    <mergeCell ref="A74:B74"/>
    <mergeCell ref="A75:B75"/>
    <mergeCell ref="A76:B76"/>
    <mergeCell ref="A69:B69"/>
    <mergeCell ref="A70:B70"/>
    <mergeCell ref="A71:B71"/>
    <mergeCell ref="A72:B72"/>
    <mergeCell ref="A73:B73"/>
  </mergeCells>
  <phoneticPr fontId="0" type="noConversion"/>
  <pageMargins left="0.70866141732283472" right="0.70866141732283472" top="0.74803149606299213" bottom="0.74803149606299213" header="0.31496062992125984" footer="0.31496062992125984"/>
  <pageSetup paperSize="9" fitToHeight="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39"/>
  <sheetViews>
    <sheetView topLeftCell="A28" workbookViewId="0">
      <selection activeCell="D22" sqref="D22"/>
    </sheetView>
  </sheetViews>
  <sheetFormatPr defaultRowHeight="15" x14ac:dyDescent="0.25"/>
  <cols>
    <col min="1" max="1" width="6.5703125" customWidth="1"/>
    <col min="2" max="2" width="33.28515625" customWidth="1"/>
    <col min="3" max="3" width="11.5703125" style="98" bestFit="1" customWidth="1"/>
    <col min="4" max="4" width="10.7109375" bestFit="1" customWidth="1"/>
    <col min="5" max="5" width="10.85546875" hidden="1" customWidth="1"/>
    <col min="6" max="6" width="11.28515625" hidden="1" customWidth="1"/>
    <col min="7" max="7" width="16.85546875" bestFit="1" customWidth="1"/>
    <col min="8" max="8" width="14.28515625" bestFit="1" customWidth="1"/>
    <col min="9" max="9" width="16" bestFit="1" customWidth="1"/>
    <col min="10" max="10" width="16.85546875" bestFit="1" customWidth="1"/>
  </cols>
  <sheetData>
    <row r="1" spans="1:11" s="3" customFormat="1" ht="15.75" x14ac:dyDescent="0.25">
      <c r="A1" s="305" t="s">
        <v>21</v>
      </c>
      <c r="B1" s="306"/>
      <c r="C1" s="306"/>
      <c r="D1" s="306"/>
      <c r="E1" s="306"/>
      <c r="F1" s="306"/>
      <c r="G1" s="167"/>
      <c r="H1" s="167"/>
      <c r="I1" s="167"/>
      <c r="J1" s="167"/>
      <c r="K1" s="4"/>
    </row>
    <row r="2" spans="1:11" s="3" customFormat="1" ht="15.75" x14ac:dyDescent="0.25">
      <c r="A2" s="308" t="s">
        <v>276</v>
      </c>
      <c r="B2" s="309"/>
      <c r="C2" s="309"/>
      <c r="D2" s="309"/>
      <c r="E2" s="309"/>
      <c r="F2" s="309"/>
      <c r="G2" s="54"/>
      <c r="H2" s="54"/>
      <c r="I2" s="54"/>
      <c r="J2" s="54"/>
      <c r="K2" s="4"/>
    </row>
    <row r="3" spans="1:11" s="3" customFormat="1" ht="15.75" x14ac:dyDescent="0.25">
      <c r="A3" s="308" t="s">
        <v>355</v>
      </c>
      <c r="B3" s="309"/>
      <c r="C3" s="309"/>
      <c r="D3" s="309"/>
      <c r="E3" s="309"/>
      <c r="F3" s="309"/>
      <c r="G3" s="54"/>
      <c r="H3" s="54"/>
      <c r="I3" s="54"/>
      <c r="J3" s="54"/>
    </row>
    <row r="4" spans="1:11" ht="15.75" thickBot="1" x14ac:dyDescent="0.3"/>
    <row r="5" spans="1:11" x14ac:dyDescent="0.25">
      <c r="A5" s="35"/>
      <c r="B5" s="33"/>
      <c r="C5" s="386" t="s">
        <v>16</v>
      </c>
      <c r="D5" s="387"/>
      <c r="E5" s="386" t="s">
        <v>25</v>
      </c>
      <c r="F5" s="388"/>
    </row>
    <row r="6" spans="1:11" x14ac:dyDescent="0.25">
      <c r="A6" s="38" t="s">
        <v>182</v>
      </c>
      <c r="B6" s="37"/>
      <c r="C6" s="113" t="s">
        <v>17</v>
      </c>
      <c r="D6" s="71" t="s">
        <v>20</v>
      </c>
      <c r="E6" s="71" t="s">
        <v>17</v>
      </c>
      <c r="F6" s="74" t="s">
        <v>20</v>
      </c>
    </row>
    <row r="7" spans="1:11" x14ac:dyDescent="0.25">
      <c r="A7" s="38"/>
      <c r="B7" s="37"/>
      <c r="C7" s="114" t="s">
        <v>103</v>
      </c>
      <c r="D7" s="72" t="s">
        <v>105</v>
      </c>
      <c r="E7" s="72" t="s">
        <v>103</v>
      </c>
      <c r="F7" s="75" t="s">
        <v>105</v>
      </c>
    </row>
    <row r="8" spans="1:11" x14ac:dyDescent="0.25">
      <c r="A8" s="38"/>
      <c r="B8" s="37"/>
      <c r="C8" s="114" t="s">
        <v>102</v>
      </c>
      <c r="D8" s="72" t="s">
        <v>104</v>
      </c>
      <c r="E8" s="72" t="s">
        <v>102</v>
      </c>
      <c r="F8" s="75" t="s">
        <v>104</v>
      </c>
    </row>
    <row r="9" spans="1:11" x14ac:dyDescent="0.25">
      <c r="A9" s="39"/>
      <c r="B9" s="34"/>
      <c r="C9" s="220" t="s">
        <v>353</v>
      </c>
      <c r="D9" s="220" t="s">
        <v>344</v>
      </c>
      <c r="E9" s="220" t="s">
        <v>353</v>
      </c>
      <c r="F9" s="220" t="s">
        <v>344</v>
      </c>
    </row>
    <row r="10" spans="1:11" x14ac:dyDescent="0.25">
      <c r="A10" s="385" t="s">
        <v>106</v>
      </c>
      <c r="B10" s="385"/>
      <c r="C10" s="116"/>
      <c r="D10" s="116"/>
      <c r="E10" s="31"/>
      <c r="F10" s="31"/>
    </row>
    <row r="11" spans="1:11" x14ac:dyDescent="0.25">
      <c r="A11" s="370" t="s">
        <v>109</v>
      </c>
      <c r="B11" s="370"/>
      <c r="C11" s="118">
        <f>153329.59557/1000</f>
        <v>153.32959557000001</v>
      </c>
      <c r="D11" s="118">
        <f>96656.95128/1000</f>
        <v>96.656951279999987</v>
      </c>
      <c r="E11" s="31"/>
      <c r="F11" s="31"/>
    </row>
    <row r="12" spans="1:11" x14ac:dyDescent="0.25">
      <c r="A12" s="370" t="s">
        <v>110</v>
      </c>
      <c r="B12" s="370"/>
      <c r="C12" s="118">
        <f>69492.70833/1000</f>
        <v>69.492708329999999</v>
      </c>
      <c r="D12" s="118">
        <f>66652.88383/1000</f>
        <v>66.652883830000007</v>
      </c>
      <c r="E12" s="31"/>
      <c r="F12" s="31"/>
    </row>
    <row r="13" spans="1:11" x14ac:dyDescent="0.25">
      <c r="A13" s="370" t="s">
        <v>111</v>
      </c>
      <c r="B13" s="370"/>
      <c r="C13" s="118">
        <f>738357.1333/1000</f>
        <v>738.35713329999999</v>
      </c>
      <c r="D13" s="118">
        <f>485296.73298/1000</f>
        <v>485.29673297999994</v>
      </c>
      <c r="E13" s="31"/>
      <c r="F13" s="31"/>
    </row>
    <row r="14" spans="1:11" x14ac:dyDescent="0.25">
      <c r="A14" s="370" t="s">
        <v>277</v>
      </c>
      <c r="B14" s="370"/>
      <c r="C14" s="70">
        <f>1024850.32546/1000-C11-C12-C13</f>
        <v>63.67088825999997</v>
      </c>
      <c r="D14" s="70">
        <f>715425.93763/1000-D11-D12-D13</f>
        <v>66.819369539999968</v>
      </c>
      <c r="E14" s="31"/>
      <c r="F14" s="31"/>
    </row>
    <row r="15" spans="1:11" x14ac:dyDescent="0.25">
      <c r="A15" s="385" t="s">
        <v>107</v>
      </c>
      <c r="B15" s="385"/>
      <c r="C15" s="93">
        <f>SUM(C11:C14)</f>
        <v>1024.85032546</v>
      </c>
      <c r="D15" s="93">
        <f>SUM(D11:D14)</f>
        <v>715.42593762999991</v>
      </c>
      <c r="E15" s="31"/>
      <c r="F15" s="31"/>
    </row>
    <row r="16" spans="1:11" x14ac:dyDescent="0.25">
      <c r="A16" s="385" t="s">
        <v>108</v>
      </c>
      <c r="B16" s="385"/>
      <c r="C16" s="70"/>
      <c r="D16" s="70"/>
      <c r="E16" s="31"/>
      <c r="F16" s="31"/>
      <c r="G16" s="225"/>
      <c r="H16" s="225"/>
      <c r="I16" s="226"/>
      <c r="J16" s="225"/>
    </row>
    <row r="17" spans="1:12" x14ac:dyDescent="0.25">
      <c r="A17" s="370" t="s">
        <v>109</v>
      </c>
      <c r="B17" s="370"/>
      <c r="C17" s="70">
        <f>9654.731495/1000</f>
        <v>9.6547314950000001</v>
      </c>
      <c r="D17" s="70">
        <f>2574.64365/1000</f>
        <v>2.5746436500000001</v>
      </c>
      <c r="E17" s="31"/>
      <c r="F17" s="31"/>
      <c r="G17" s="98"/>
      <c r="H17" s="98"/>
      <c r="I17" s="98"/>
      <c r="J17" s="98"/>
      <c r="K17" s="22"/>
      <c r="L17" s="22"/>
    </row>
    <row r="18" spans="1:12" x14ac:dyDescent="0.25">
      <c r="A18" s="370" t="s">
        <v>110</v>
      </c>
      <c r="B18" s="370"/>
      <c r="C18" s="70">
        <f>1715596.31694/1000</f>
        <v>1715.59631694</v>
      </c>
      <c r="D18" s="70">
        <f>1120128.91949/1000</f>
        <v>1120.12891949</v>
      </c>
      <c r="E18" s="31"/>
      <c r="F18" s="31"/>
      <c r="G18" s="98"/>
      <c r="H18" s="98"/>
      <c r="I18" s="98"/>
      <c r="J18" s="98"/>
      <c r="K18" s="22"/>
      <c r="L18" s="22"/>
    </row>
    <row r="19" spans="1:12" x14ac:dyDescent="0.25">
      <c r="A19" s="370" t="s">
        <v>111</v>
      </c>
      <c r="B19" s="370"/>
      <c r="C19" s="70">
        <f>1808020.81352/1000</f>
        <v>1808.02081352</v>
      </c>
      <c r="D19" s="70">
        <f>3036043.551/1000</f>
        <v>3036.0435509999998</v>
      </c>
      <c r="E19" s="31"/>
      <c r="F19" s="31"/>
      <c r="G19" s="98"/>
      <c r="H19" s="98"/>
      <c r="I19" s="98"/>
      <c r="J19" s="98"/>
      <c r="K19" s="22"/>
      <c r="L19" s="22"/>
    </row>
    <row r="20" spans="1:12" x14ac:dyDescent="0.25">
      <c r="A20" s="370" t="s">
        <v>277</v>
      </c>
      <c r="B20" s="370"/>
      <c r="C20" s="118">
        <f>3555014.031095/1000-C17-C18-C19</f>
        <v>21.742169140000215</v>
      </c>
      <c r="D20" s="118">
        <f>4180530.83257/1000-D17-D18-D19</f>
        <v>21.783718429999681</v>
      </c>
      <c r="E20" s="31"/>
      <c r="F20" s="31"/>
      <c r="G20" s="98"/>
      <c r="H20" s="98"/>
      <c r="I20" s="98"/>
      <c r="J20" s="98"/>
      <c r="K20" s="22"/>
      <c r="L20" s="224"/>
    </row>
    <row r="21" spans="1:12" x14ac:dyDescent="0.25">
      <c r="A21" s="385" t="s">
        <v>107</v>
      </c>
      <c r="B21" s="385"/>
      <c r="C21" s="93">
        <f>SUM(C17:C20)</f>
        <v>3555.0140310950001</v>
      </c>
      <c r="D21" s="93">
        <f>SUM(D17:D20)</f>
        <v>4180.5308325699998</v>
      </c>
      <c r="E21" s="31"/>
      <c r="F21" s="31"/>
      <c r="G21" s="227"/>
      <c r="H21" s="227"/>
      <c r="I21" s="227"/>
      <c r="J21" s="227"/>
    </row>
    <row r="22" spans="1:12" x14ac:dyDescent="0.25">
      <c r="A22" s="385" t="s">
        <v>82</v>
      </c>
      <c r="B22" s="385"/>
      <c r="C22" s="93">
        <f>+C15+C21</f>
        <v>4579.8643565550001</v>
      </c>
      <c r="D22" s="93">
        <f>+D15+D21</f>
        <v>4895.9567701999995</v>
      </c>
      <c r="E22" s="31"/>
      <c r="F22" s="31"/>
      <c r="G22" s="227"/>
      <c r="H22" s="227"/>
      <c r="I22" s="227"/>
      <c r="J22" s="227"/>
    </row>
    <row r="23" spans="1:12" x14ac:dyDescent="0.25">
      <c r="A23" s="16"/>
      <c r="B23" s="22"/>
      <c r="C23" s="117"/>
      <c r="D23" s="16"/>
      <c r="E23" s="16"/>
      <c r="F23" s="16"/>
      <c r="G23" s="22"/>
      <c r="H23" s="228"/>
      <c r="I23" s="229"/>
      <c r="J23" s="228"/>
    </row>
    <row r="25" spans="1:12" x14ac:dyDescent="0.25">
      <c r="C25" s="19"/>
      <c r="D25" s="19"/>
      <c r="F25" s="22"/>
    </row>
    <row r="26" spans="1:12" x14ac:dyDescent="0.25">
      <c r="C26" s="19"/>
      <c r="D26" s="19"/>
      <c r="F26" s="22"/>
      <c r="H26" s="22"/>
      <c r="I26" s="22"/>
    </row>
    <row r="27" spans="1:12" x14ac:dyDescent="0.25">
      <c r="B27" s="111"/>
      <c r="C27" s="19"/>
      <c r="D27" s="19"/>
      <c r="F27" s="22"/>
      <c r="H27" s="22"/>
      <c r="I27" s="22"/>
    </row>
    <row r="28" spans="1:12" x14ac:dyDescent="0.25">
      <c r="B28" s="223"/>
      <c r="C28" s="20"/>
      <c r="D28" s="20"/>
      <c r="F28" s="22"/>
      <c r="H28" s="22"/>
      <c r="I28" s="22"/>
    </row>
    <row r="29" spans="1:12" x14ac:dyDescent="0.25">
      <c r="B29" s="223"/>
      <c r="C29" s="117"/>
      <c r="D29" s="23"/>
      <c r="E29" s="22"/>
      <c r="F29" s="22"/>
      <c r="H29" s="22"/>
      <c r="I29" s="22"/>
    </row>
    <row r="30" spans="1:12" x14ac:dyDescent="0.25">
      <c r="B30" s="223"/>
      <c r="E30" s="22"/>
      <c r="G30" s="22"/>
      <c r="H30" s="22"/>
      <c r="I30" s="22"/>
    </row>
    <row r="31" spans="1:12" x14ac:dyDescent="0.25">
      <c r="B31" s="223"/>
    </row>
    <row r="32" spans="1:12" x14ac:dyDescent="0.25">
      <c r="B32" s="111"/>
    </row>
    <row r="33" spans="2:2" x14ac:dyDescent="0.25">
      <c r="B33" s="111"/>
    </row>
    <row r="34" spans="2:2" x14ac:dyDescent="0.25">
      <c r="B34" s="111"/>
    </row>
    <row r="35" spans="2:2" x14ac:dyDescent="0.25">
      <c r="B35" s="222"/>
    </row>
    <row r="36" spans="2:2" x14ac:dyDescent="0.25">
      <c r="B36" s="222"/>
    </row>
    <row r="37" spans="2:2" x14ac:dyDescent="0.25">
      <c r="B37" s="222"/>
    </row>
    <row r="38" spans="2:2" x14ac:dyDescent="0.25">
      <c r="B38" s="222"/>
    </row>
    <row r="39" spans="2:2" x14ac:dyDescent="0.25">
      <c r="B39" s="222"/>
    </row>
  </sheetData>
  <mergeCells count="18">
    <mergeCell ref="A17:B17"/>
    <mergeCell ref="A18:B18"/>
    <mergeCell ref="A1:F1"/>
    <mergeCell ref="A2:F2"/>
    <mergeCell ref="A3:F3"/>
    <mergeCell ref="A21:B21"/>
    <mergeCell ref="A22:B22"/>
    <mergeCell ref="C5:D5"/>
    <mergeCell ref="E5:F5"/>
    <mergeCell ref="A10:B10"/>
    <mergeCell ref="A15:B15"/>
    <mergeCell ref="A16:B16"/>
    <mergeCell ref="A11:B11"/>
    <mergeCell ref="A12:B12"/>
    <mergeCell ref="A19:B19"/>
    <mergeCell ref="A20:B20"/>
    <mergeCell ref="A13:B13"/>
    <mergeCell ref="A14:B14"/>
  </mergeCells>
  <phoneticPr fontId="0"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INCOME-I</vt:lpstr>
      <vt:lpstr>INCOME-II</vt:lpstr>
      <vt:lpstr>FINANCIAL POSITION</vt:lpstr>
      <vt:lpstr>CHANGES IN EQUITY</vt:lpstr>
      <vt:lpstr>CASH FLOW</vt:lpstr>
      <vt:lpstr>SELECTED PERFORMANCE INDICATORS</vt:lpstr>
      <vt:lpstr>FINANCIAL INSTRUMENTS</vt:lpstr>
      <vt:lpstr>LOANS &amp; RECEIVABLES</vt:lpstr>
      <vt:lpstr>DEPOSITS</vt:lpstr>
      <vt:lpstr>'CASH FLOW'!Print_Area</vt:lpstr>
      <vt:lpstr>'CHANGES IN EQUITY'!Print_Area</vt:lpstr>
      <vt:lpstr>'FINANCIAL POSITION'!Print_Area</vt:lpstr>
      <vt:lpstr>'INCOME-I'!Print_Area</vt:lpstr>
      <vt:lpstr>'INCOME-II'!Print_Area</vt:lpstr>
      <vt:lpstr>'LOANS &amp; RECEIVABLES'!Print_Area</vt:lpstr>
      <vt:lpstr>'SELECTED PERFORMANCE INDICATORS'!Print_Area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Sahana Ms.</dc:creator>
  <cp:lastModifiedBy>HP</cp:lastModifiedBy>
  <cp:lastPrinted>2021-02-16T06:26:51Z</cp:lastPrinted>
  <dcterms:created xsi:type="dcterms:W3CDTF">2013-06-10T08:59:36Z</dcterms:created>
  <dcterms:modified xsi:type="dcterms:W3CDTF">2021-03-05T12:30:03Z</dcterms:modified>
</cp:coreProperties>
</file>