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8130" tabRatio="632" firstSheet="1" activeTab="5"/>
  </bookViews>
  <sheets>
    <sheet name="INCOME-I" sheetId="1" r:id="rId1"/>
    <sheet name="INCOME-II" sheetId="2" r:id="rId2"/>
    <sheet name="FINANCIAL POSITION" sheetId="3" r:id="rId3"/>
    <sheet name="CHANGES IN EQUITY" sheetId="4" r:id="rId4"/>
    <sheet name="CASH FLOW" sheetId="5" r:id="rId5"/>
    <sheet name="SELECTED PERFORMANCE INDICATORS" sheetId="6" r:id="rId6"/>
    <sheet name="FINANCIAL INSTRUMENTS" sheetId="7" state="hidden" r:id="rId7"/>
    <sheet name="LOANS &amp; RECEIVABLES" sheetId="8" state="hidden" r:id="rId8"/>
    <sheet name="DEPOSITS" sheetId="9" state="hidden" r:id="rId9"/>
  </sheets>
  <externalReferences>
    <externalReference r:id="rId12"/>
    <externalReference r:id="rId13"/>
  </externalReferences>
  <definedNames>
    <definedName name="_xlnm.Print_Area" localSheetId="4">'CASH FLOW'!$A$1:$E$63</definedName>
    <definedName name="_xlnm.Print_Area" localSheetId="3">'CHANGES IN EQUITY'!$A$1:$L$29,'CHANGES IN EQUITY'!$A$33:$L$58</definedName>
    <definedName name="_xlnm.Print_Area" localSheetId="0">'INCOME-I'!$B$1:$F$48</definedName>
    <definedName name="_xlnm.Print_Area" localSheetId="1">'INCOME-II'!$A$1:$E$41</definedName>
    <definedName name="_xlnm.Print_Area" localSheetId="7">'LOANS &amp; RECEIVABLES'!$A$4:$F$27</definedName>
    <definedName name="_xlnm.Print_Area" localSheetId="5">'SELECTED PERFORMANCE INDICATORS'!$A$1:$E$60</definedName>
  </definedNames>
  <calcPr fullCalcOnLoad="1"/>
</workbook>
</file>

<file path=xl/comments4.xml><?xml version="1.0" encoding="utf-8"?>
<comments xmlns="http://schemas.openxmlformats.org/spreadsheetml/2006/main">
  <authors>
    <author>user</author>
  </authors>
  <commentList>
    <comment ref="J10" authorId="0">
      <text>
        <r>
          <rPr>
            <b/>
            <sz val="9"/>
            <rFont val="Tahoma"/>
            <family val="2"/>
          </rPr>
          <t>9520</t>
        </r>
        <r>
          <rPr>
            <sz val="9"/>
            <rFont val="Tahoma"/>
            <family val="2"/>
          </rPr>
          <t xml:space="preserve">
</t>
        </r>
      </text>
    </comment>
    <comment ref="L10" authorId="0">
      <text>
        <r>
          <rPr>
            <b/>
            <sz val="9"/>
            <rFont val="Tahoma"/>
            <family val="2"/>
          </rPr>
          <t>9520</t>
        </r>
        <r>
          <rPr>
            <sz val="9"/>
            <rFont val="Tahoma"/>
            <family val="2"/>
          </rPr>
          <t xml:space="preserve">
</t>
        </r>
      </text>
    </comment>
    <comment ref="J14" authorId="0">
      <text>
        <r>
          <rPr>
            <b/>
            <sz val="9"/>
            <rFont val="Tahoma"/>
            <family val="2"/>
          </rPr>
          <t>9604</t>
        </r>
        <r>
          <rPr>
            <sz val="9"/>
            <rFont val="Tahoma"/>
            <family val="2"/>
          </rPr>
          <t xml:space="preserve">
</t>
        </r>
      </text>
    </comment>
    <comment ref="L14" authorId="0">
      <text>
        <r>
          <rPr>
            <b/>
            <sz val="9"/>
            <rFont val="Tahoma"/>
            <family val="2"/>
          </rPr>
          <t>9604</t>
        </r>
        <r>
          <rPr>
            <sz val="9"/>
            <rFont val="Tahoma"/>
            <family val="2"/>
          </rPr>
          <t xml:space="preserve">
</t>
        </r>
      </text>
    </comment>
    <comment ref="J29" authorId="0">
      <text>
        <r>
          <rPr>
            <b/>
            <sz val="9"/>
            <rFont val="Tahoma"/>
            <family val="2"/>
          </rPr>
          <t>9604</t>
        </r>
        <r>
          <rPr>
            <sz val="9"/>
            <rFont val="Tahoma"/>
            <family val="2"/>
          </rPr>
          <t xml:space="preserve">
</t>
        </r>
      </text>
    </comment>
    <comment ref="L29" authorId="0">
      <text>
        <r>
          <rPr>
            <b/>
            <sz val="9"/>
            <rFont val="Tahoma"/>
            <family val="2"/>
          </rPr>
          <t>9604</t>
        </r>
        <r>
          <rPr>
            <sz val="9"/>
            <rFont val="Tahoma"/>
            <family val="2"/>
          </rPr>
          <t xml:space="preserve">
</t>
        </r>
      </text>
    </comment>
  </commentList>
</comments>
</file>

<file path=xl/sharedStrings.xml><?xml version="1.0" encoding="utf-8"?>
<sst xmlns="http://schemas.openxmlformats.org/spreadsheetml/2006/main" count="691" uniqueCount="370">
  <si>
    <t xml:space="preserve">INCOME STATEMENT </t>
  </si>
  <si>
    <t>Interest Income</t>
  </si>
  <si>
    <t>Interest expenses</t>
  </si>
  <si>
    <t>Net Interest income</t>
  </si>
  <si>
    <t xml:space="preserve">Fee and Commission income </t>
  </si>
  <si>
    <t>Fee and Commission expenses</t>
  </si>
  <si>
    <t>Net fee and Commission income</t>
  </si>
  <si>
    <t>Total operating income</t>
  </si>
  <si>
    <t>Net Operating income</t>
  </si>
  <si>
    <t>Personal expenses</t>
  </si>
  <si>
    <t>Other expenses</t>
  </si>
  <si>
    <t>Value added tax (VAT) on financial services</t>
  </si>
  <si>
    <t>Profit / (loss) before tax</t>
  </si>
  <si>
    <t>Profit / (loss) for the period</t>
  </si>
  <si>
    <t>Profit attributable to :</t>
  </si>
  <si>
    <t>Basic earnings per ordinary share</t>
  </si>
  <si>
    <t>Bank</t>
  </si>
  <si>
    <t xml:space="preserve">Current </t>
  </si>
  <si>
    <t>From</t>
  </si>
  <si>
    <t>to</t>
  </si>
  <si>
    <t>Previous</t>
  </si>
  <si>
    <t>INDIAN OVERSEAS BANK</t>
  </si>
  <si>
    <t xml:space="preserve">STATEMENT OF COMPREHENSIVE INCOME </t>
  </si>
  <si>
    <t>Profit (loss) for the period</t>
  </si>
  <si>
    <t>Changes in revaluation surplus</t>
  </si>
  <si>
    <t>Group</t>
  </si>
  <si>
    <t>Assets</t>
  </si>
  <si>
    <t>Balances with central banks</t>
  </si>
  <si>
    <t>Placements with banks</t>
  </si>
  <si>
    <t>Derivative financial instruments</t>
  </si>
  <si>
    <t>through profit or loss</t>
  </si>
  <si>
    <t>Investments in subsidiaries</t>
  </si>
  <si>
    <t>Investments in associates and joint ventures</t>
  </si>
  <si>
    <t>Investment properties</t>
  </si>
  <si>
    <t>Other assets</t>
  </si>
  <si>
    <t>Total assets</t>
  </si>
  <si>
    <t>Liabilities</t>
  </si>
  <si>
    <t>Due to banks</t>
  </si>
  <si>
    <t>Debts securities issued</t>
  </si>
  <si>
    <t>Current tax liabilities</t>
  </si>
  <si>
    <t>Other provisions</t>
  </si>
  <si>
    <t>Other liabilities</t>
  </si>
  <si>
    <t>Due to subsidiaries</t>
  </si>
  <si>
    <t>Total liabilities</t>
  </si>
  <si>
    <t>Equity</t>
  </si>
  <si>
    <t>Stated capital / Assigned capital</t>
  </si>
  <si>
    <t>Statutory reserve fund</t>
  </si>
  <si>
    <t>Retained earnings</t>
  </si>
  <si>
    <t>Other reserves</t>
  </si>
  <si>
    <t>Total shareholders' equity</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</si>
  <si>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</si>
  <si>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</si>
  <si>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</si>
  <si>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</si>
  <si>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</si>
  <si>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</si>
  <si>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</si>
  <si>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</si>
  <si>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Other comprehensive income (net of tax)</t>
  </si>
  <si>
    <t>Share issue/increase of assigned capital</t>
  </si>
  <si>
    <t>Share options excercised</t>
  </si>
  <si>
    <t>Bonus issue</t>
  </si>
  <si>
    <t>Rights issue</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</si>
  <si>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</si>
  <si>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</si>
  <si>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</si>
  <si>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</si>
  <si>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</si>
  <si>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</si>
  <si>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Ordinary</t>
  </si>
  <si>
    <t xml:space="preserve">voting </t>
  </si>
  <si>
    <t>shares</t>
  </si>
  <si>
    <t>non-voting</t>
  </si>
  <si>
    <t>Assigned</t>
  </si>
  <si>
    <t>capital</t>
  </si>
  <si>
    <t>Reserves</t>
  </si>
  <si>
    <t>Revaluation</t>
  </si>
  <si>
    <t>reserve</t>
  </si>
  <si>
    <t xml:space="preserve">Retained </t>
  </si>
  <si>
    <t>earnings</t>
  </si>
  <si>
    <t xml:space="preserve">Other </t>
  </si>
  <si>
    <t>reserves</t>
  </si>
  <si>
    <t>Total</t>
  </si>
  <si>
    <t>interest</t>
  </si>
  <si>
    <t>a. Bank - Current period</t>
  </si>
  <si>
    <t>ASSETS</t>
  </si>
  <si>
    <t>Cash and cash equivalents</t>
  </si>
  <si>
    <t>Total financial assets</t>
  </si>
  <si>
    <t>LIABILITIES</t>
  </si>
  <si>
    <t>Debt securities issued</t>
  </si>
  <si>
    <t xml:space="preserve">Total financial liabilities </t>
  </si>
  <si>
    <t>ANALYSIS OF FINANCIAL INSTRUMENTS BY MEASURMENT BASIS</t>
  </si>
  <si>
    <t>Assets Quality (Quality of Loan Portfolio)</t>
  </si>
  <si>
    <t>Profitability</t>
  </si>
  <si>
    <t>Regulatory Liquidity</t>
  </si>
  <si>
    <t>Statutory Liquid Assets, Rs. '000</t>
  </si>
  <si>
    <t xml:space="preserve">   Domestic Banking Unit</t>
  </si>
  <si>
    <t xml:space="preserve">   Off - shore Banking Unit</t>
  </si>
  <si>
    <t>As at</t>
  </si>
  <si>
    <t>in LKR</t>
  </si>
  <si>
    <t>in INR</t>
  </si>
  <si>
    <t xml:space="preserve"> Group</t>
  </si>
  <si>
    <t>as at</t>
  </si>
  <si>
    <t xml:space="preserve">Period </t>
  </si>
  <si>
    <t xml:space="preserve"> as at</t>
  </si>
  <si>
    <t xml:space="preserve"> Period</t>
  </si>
  <si>
    <t>By Product - Domestic Currecy</t>
  </si>
  <si>
    <t>Sub Total</t>
  </si>
  <si>
    <t>By Product - Foreign Currecy</t>
  </si>
  <si>
    <t>Demand Deposits (Current Accounts)</t>
  </si>
  <si>
    <t>Savings Deposits</t>
  </si>
  <si>
    <t>Fixed Deposits</t>
  </si>
  <si>
    <t xml:space="preserve">STATEMENT OF FINANCIAL POSITION </t>
  </si>
  <si>
    <t xml:space="preserve"> </t>
  </si>
  <si>
    <t>ANALYSIS OF FINANCIAL INSTRUMENTS BY MEASUREMENT BASIS</t>
  </si>
  <si>
    <t>Certification</t>
  </si>
  <si>
    <t>Earnings per share on profit</t>
  </si>
  <si>
    <t>Equity Holders of the parent</t>
  </si>
  <si>
    <t xml:space="preserve">Current Period </t>
  </si>
  <si>
    <t>Diluted earnings per ordinary share</t>
  </si>
  <si>
    <t xml:space="preserve">Cash and cash equivalents </t>
  </si>
  <si>
    <t>Property, plant and equipment</t>
  </si>
  <si>
    <t xml:space="preserve">Non controlling </t>
  </si>
  <si>
    <t>b. Bank - Previous Period</t>
  </si>
  <si>
    <t>Deffered tax liabilities</t>
  </si>
  <si>
    <t>in INR milion (Audited)</t>
  </si>
  <si>
    <t>(Audited)</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</si>
  <si>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</si>
  <si>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</si>
  <si>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</si>
  <si>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</si>
  <si>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S Subamuralitharan</t>
  </si>
  <si>
    <t>c. Group - Current period</t>
  </si>
  <si>
    <t>STATEMENT OF CASH FLOWS</t>
  </si>
  <si>
    <t>Group(in INR)</t>
  </si>
  <si>
    <t>Cash flows from operating activities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</si>
  <si>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</si>
  <si>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</si>
  <si>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</si>
  <si>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</si>
  <si>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</si>
  <si>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</si>
  <si>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</si>
  <si>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</si>
  <si>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</si>
  <si>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</si>
  <si>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</si>
  <si>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</si>
  <si>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</si>
  <si>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</si>
  <si>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</si>
  <si>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</si>
  <si>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</si>
  <si>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</si>
  <si>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</si>
  <si>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</si>
  <si>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</si>
  <si>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</si>
  <si>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</si>
  <si>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</si>
  <si>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Previous Period </t>
  </si>
  <si>
    <t>AS AT 31.03.2017</t>
  </si>
  <si>
    <t>Financial Parameters</t>
  </si>
  <si>
    <t>Bank (in LKR)</t>
  </si>
  <si>
    <t>AS AT 31.03.2018</t>
  </si>
  <si>
    <t>d. Group - Previous period</t>
  </si>
  <si>
    <t>31/03/18</t>
  </si>
  <si>
    <t>31/03/2018</t>
  </si>
  <si>
    <t>M Mohan</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</si>
  <si>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</si>
  <si>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</si>
  <si>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01.04.2018</t>
  </si>
  <si>
    <t>AS AT 31.12.2018</t>
  </si>
  <si>
    <t>Deffered tax assets</t>
  </si>
  <si>
    <t>Net gains/(losses) from trading</t>
  </si>
  <si>
    <t xml:space="preserve">    financial assets at fair value through profit or loss</t>
  </si>
  <si>
    <t xml:space="preserve">    financial liabilities at fair value through profit or loss</t>
  </si>
  <si>
    <t>Net gains/(losses) on derecognition of financial assets :</t>
  </si>
  <si>
    <t xml:space="preserve">    at fair value through profit or loss</t>
  </si>
  <si>
    <t xml:space="preserve">    at amortised cost</t>
  </si>
  <si>
    <t xml:space="preserve">    at fair value through other comprehensive income</t>
  </si>
  <si>
    <t>Net other operating income</t>
  </si>
  <si>
    <t>Impairment charges</t>
  </si>
  <si>
    <t>Depreciation and amortizaiton expenses</t>
  </si>
  <si>
    <t>National building tax (VAT) on financial services</t>
  </si>
  <si>
    <t>Operating profit / (loss) before VAT &amp; NBT on financial services</t>
  </si>
  <si>
    <t>Operating profit / (loss) after VAT &amp; NBT on financial services</t>
  </si>
  <si>
    <t>Income Tax expenses</t>
  </si>
  <si>
    <t>Non-controlling interests</t>
  </si>
  <si>
    <t>In Rupees Millions</t>
  </si>
  <si>
    <t>Items that will be reclassified to income statement</t>
  </si>
  <si>
    <t>Exchange differences on translation of foreign operations</t>
  </si>
  <si>
    <t>Net gains/(losses) on cash flow hedges</t>
  </si>
  <si>
    <t>Net gains/(losses) on investments in debt instruments</t>
  </si>
  <si>
    <t>measured at fair value through other comprehensive income</t>
  </si>
  <si>
    <t>Share of profits of associates and joint ventures</t>
  </si>
  <si>
    <t>Debt instruments at fair value through other comprehensive income</t>
  </si>
  <si>
    <t>Others (specify)</t>
  </si>
  <si>
    <t>Less : Tax expense relating to items that will be reclassified to</t>
  </si>
  <si>
    <t>income statement</t>
  </si>
  <si>
    <t>Items that will not be reclassified to income statement</t>
  </si>
  <si>
    <t>Change in fair value on investments in equity instruments</t>
  </si>
  <si>
    <t>designated at fair value through other comprehensive income</t>
  </si>
  <si>
    <t xml:space="preserve">Change in fair value attributable to change in the Bank’s own </t>
  </si>
  <si>
    <t xml:space="preserve">credit risk on financial liabilities designated at fair value </t>
  </si>
  <si>
    <t>Re-measurement of post-employment benefit obligations</t>
  </si>
  <si>
    <t>to income statement</t>
  </si>
  <si>
    <t>Less: Tax expense relating to items that will not be reclassified</t>
  </si>
  <si>
    <t>Other comprehensive income for the period, net of taxes</t>
  </si>
  <si>
    <t>Equity holders of the parent</t>
  </si>
  <si>
    <t>Financial assets recognized through profit or loss</t>
  </si>
  <si>
    <t xml:space="preserve">    - measured at fair value</t>
  </si>
  <si>
    <t xml:space="preserve">    - designated at fair value</t>
  </si>
  <si>
    <t>Financial assets at amortised cost</t>
  </si>
  <si>
    <t xml:space="preserve">   - loans and advances</t>
  </si>
  <si>
    <t xml:space="preserve">   - debt and other instruments</t>
  </si>
  <si>
    <t>Financial assets measured at fair value through</t>
  </si>
  <si>
    <t>other comprehensive income</t>
  </si>
  <si>
    <t>Financial liabilities at amortised cost</t>
  </si>
  <si>
    <t xml:space="preserve">   - due to depositors</t>
  </si>
  <si>
    <t xml:space="preserve">   - due to debt securities holders</t>
  </si>
  <si>
    <t xml:space="preserve">   - due to other borrowers</t>
  </si>
  <si>
    <t>Retirement benefit obligations</t>
  </si>
  <si>
    <t>Financial liabilities recognized through profit or loss</t>
  </si>
  <si>
    <t>OCI reserve</t>
  </si>
  <si>
    <t>Note: Amounts stated are net of impairment and depreciation.</t>
  </si>
  <si>
    <t>In Rupees Millions                                    LKR</t>
  </si>
  <si>
    <t>Transactions with equity holders, recognised</t>
  </si>
  <si>
    <t>directly in equity</t>
  </si>
  <si>
    <t>Profit/(loss) for the year (net of
tax)</t>
  </si>
  <si>
    <t>Transfers to reserve during the period</t>
  </si>
  <si>
    <t>In Rupees Millions                                    INR</t>
  </si>
  <si>
    <t>Statutory Reserve fund</t>
  </si>
  <si>
    <t>OCI</t>
  </si>
  <si>
    <t>Interest receipts</t>
  </si>
  <si>
    <t>Interest payments</t>
  </si>
  <si>
    <t>Net commission receipts</t>
  </si>
  <si>
    <t>Trading income</t>
  </si>
  <si>
    <t>Payments to employees</t>
  </si>
  <si>
    <t>VAT &amp; NBT on financial services</t>
  </si>
  <si>
    <t>Receipts from other operating activities</t>
  </si>
  <si>
    <t>Payments on other operating activities</t>
  </si>
  <si>
    <t>Operating profit before change in operating assets &amp; liabilities</t>
  </si>
  <si>
    <t>(Increase) / decrease in operating assets</t>
  </si>
  <si>
    <t>Balances with Central Bank of Sri Lanka</t>
  </si>
  <si>
    <t>Financial assets at amortised cost – loans &amp; advances</t>
  </si>
  <si>
    <t>Other assets (please specify)</t>
  </si>
  <si>
    <t>Increase / (decrease) in operating liabilities</t>
  </si>
  <si>
    <t>Financial liabilities at amortised cost – due to depositors</t>
  </si>
  <si>
    <t>Financial liabilities at amortised cost – due to debt securities holders</t>
  </si>
  <si>
    <t>Financial liabilities at amortised cost – due to other borrowers</t>
  </si>
  <si>
    <t>Other liabilities (please specify)</t>
  </si>
  <si>
    <t>Net cash generated from operating activities before income tax</t>
  </si>
  <si>
    <t>Income tax paid</t>
  </si>
  <si>
    <t>Net cash (used in) / from operating activities</t>
  </si>
  <si>
    <t>Net cash (used in) / from financing activities</t>
  </si>
  <si>
    <t>Net cash flow from acquisition of investment in subsidiaries, joint
ventures and associates</t>
  </si>
  <si>
    <t>Net cash flow from disposal of subsidiaries, associates and  joint
ventures</t>
  </si>
  <si>
    <t>SELECTED PERFORMANCE INDICATORS (BASED ON REGULATORY REPORTING)</t>
  </si>
  <si>
    <t>Regulatory Capital Adequacy (LKR in Millions)</t>
  </si>
  <si>
    <t xml:space="preserve">      Common Equity Tier 1</t>
  </si>
  <si>
    <t xml:space="preserve">      Core (Tier 1) Capital</t>
  </si>
  <si>
    <t xml:space="preserve">      Total Capital Base</t>
  </si>
  <si>
    <t>Regulatory Capital Ratios (%)</t>
  </si>
  <si>
    <t>Gross Non-Performing Advances Ratio % (net of IIS)</t>
  </si>
  <si>
    <t>Net-Non Performing Advances, % (net of IIS and provision)</t>
  </si>
  <si>
    <t>Return on Assets (befor Tax) %</t>
  </si>
  <si>
    <t>Return on Equity %</t>
  </si>
  <si>
    <t>Interest Margin %</t>
  </si>
  <si>
    <t>Loans and advances</t>
  </si>
  <si>
    <t>Debt instruments</t>
  </si>
  <si>
    <t>Equity instruments</t>
  </si>
  <si>
    <t>AC</t>
  </si>
  <si>
    <t>FVPL</t>
  </si>
  <si>
    <t>FVOCI</t>
  </si>
  <si>
    <t>FVOCI - Financial assets measured at fair value through other comprehensive income</t>
  </si>
  <si>
    <t>FVPL   - Financial assets/liabilities measured at fair value through profit or loss</t>
  </si>
  <si>
    <t>AC       - Financial assets/liabilities measured at amortised cost</t>
  </si>
  <si>
    <t>In Indian Rupees Millions</t>
  </si>
  <si>
    <t>Financial liabilities</t>
  </si>
  <si>
    <t xml:space="preserve">  - due to depositors</t>
  </si>
  <si>
    <t xml:space="preserve">  - due to debt securities holders</t>
  </si>
  <si>
    <t xml:space="preserve">  - due to other borrowers</t>
  </si>
  <si>
    <t>ANALYSIS OF FINANCIAL DEPOSITS</t>
  </si>
  <si>
    <t>Other (Dormant/Margin/Vostro)</t>
  </si>
  <si>
    <t>ANALYSIS OF LOANS &amp; ADVANCES, COMMITMENTS, CONTINGENCIES AND
IMPAIRMENT</t>
  </si>
  <si>
    <t>Product-wise Gross loans &amp; advances</t>
  </si>
  <si>
    <t xml:space="preserve">    By Product - Domestic Currency</t>
  </si>
  <si>
    <t xml:space="preserve">          Overdrafts</t>
  </si>
  <si>
    <t xml:space="preserve">          Term Loans</t>
  </si>
  <si>
    <t xml:space="preserve">          Lease Rentals Receivable</t>
  </si>
  <si>
    <t xml:space="preserve">         Credit Cards</t>
  </si>
  <si>
    <t xml:space="preserve">         Pawning</t>
  </si>
  <si>
    <t xml:space="preserve">    Sub Total</t>
  </si>
  <si>
    <t xml:space="preserve">          Guarantees</t>
  </si>
  <si>
    <t xml:space="preserve">          Bonds</t>
  </si>
  <si>
    <t>Product-wise commitments and contigencies</t>
  </si>
  <si>
    <t xml:space="preserve">          Undrawn credit lines</t>
  </si>
  <si>
    <t>Stage-wise impairment on loans &amp; advances,</t>
  </si>
  <si>
    <t>commitments and contigencies</t>
  </si>
  <si>
    <t>Gross loans &amp; advances, commitments and</t>
  </si>
  <si>
    <t>contigencies</t>
  </si>
  <si>
    <t>Less : Accumulated impairment under stage 1</t>
  </si>
  <si>
    <t xml:space="preserve">            Accumulated impairment under stage 3</t>
  </si>
  <si>
    <t xml:space="preserve">            Accumulated impairment under stage 2</t>
  </si>
  <si>
    <t>and contigencies</t>
  </si>
  <si>
    <t>Net value of loans &amp; advances, commitments</t>
  </si>
  <si>
    <t>Movement of impairment during the period</t>
  </si>
  <si>
    <t>Under Stage 1</t>
  </si>
  <si>
    <t xml:space="preserve">     Charge/(Write back) to income statement</t>
  </si>
  <si>
    <t xml:space="preserve">     Write-off during the year</t>
  </si>
  <si>
    <t xml:space="preserve">     Other movements</t>
  </si>
  <si>
    <t xml:space="preserve">     Closing balance as 31.03.2019</t>
  </si>
  <si>
    <t>Under Stage 2</t>
  </si>
  <si>
    <t>Under Stage 3</t>
  </si>
  <si>
    <t>Total impairment</t>
  </si>
  <si>
    <t>31.03.2019</t>
  </si>
  <si>
    <t>Others - Foreign Exchange gain from FCBU</t>
  </si>
  <si>
    <t xml:space="preserve">Current  </t>
  </si>
  <si>
    <t>Period</t>
  </si>
  <si>
    <t xml:space="preserve">Previous </t>
  </si>
  <si>
    <t>Current</t>
  </si>
  <si>
    <t>Goodwill and intangible assets</t>
  </si>
  <si>
    <t>AS AT 31.03.2019</t>
  </si>
  <si>
    <t>DRL</t>
  </si>
  <si>
    <t>VAT FS</t>
  </si>
  <si>
    <t>NBT FS</t>
  </si>
  <si>
    <t>Tier 1 Capital Ratio (%) (Minimum Requirement - 8.50%)</t>
  </si>
  <si>
    <t>Common Equity Tier 1 Capital (%) (Minimum Requirement - 7.00%)</t>
  </si>
  <si>
    <t>Total Capital Ratio (%) (Minimum Requirement - 12.50%)</t>
  </si>
  <si>
    <t>70.772%</t>
  </si>
  <si>
    <t>71.530%</t>
  </si>
  <si>
    <t>Statutory Liquid Assets Ratio, % (Minimum Requirement, 20%)</t>
  </si>
  <si>
    <t>31/03/2019</t>
  </si>
  <si>
    <t>Total Stock of High-Quality Liquid Assets (LKR in Millions)</t>
  </si>
  <si>
    <t>Liquidity Coverage Ratio (%) (Minimum Requirement - 100%)</t>
  </si>
  <si>
    <t xml:space="preserve">      Rupee (%)</t>
  </si>
  <si>
    <t xml:space="preserve">      All Currency (%)</t>
  </si>
  <si>
    <t>NA</t>
  </si>
  <si>
    <t>10.21%</t>
  </si>
  <si>
    <t>Stated capital/Assigned capital</t>
  </si>
  <si>
    <t>31/03/19</t>
  </si>
  <si>
    <t>Leverage Ratio (Minimum Requirement - 3%)</t>
  </si>
  <si>
    <t xml:space="preserve">        Other Loans (Demand /Staff/Bills/NPA)</t>
  </si>
  <si>
    <t xml:space="preserve">    By Product - Foreign Currency</t>
  </si>
  <si>
    <t>21.30%</t>
  </si>
  <si>
    <t>387.13%</t>
  </si>
  <si>
    <t>ADJUSTMENTS</t>
  </si>
  <si>
    <t>PRODUCT</t>
  </si>
  <si>
    <t>PAYABLE</t>
  </si>
  <si>
    <t xml:space="preserve">          Letters of Credits</t>
  </si>
  <si>
    <t xml:space="preserve">          Bills of Exchange</t>
  </si>
  <si>
    <t xml:space="preserve">          Other Contigent Items</t>
  </si>
  <si>
    <t>Net fair value gains/(losses) on :</t>
  </si>
  <si>
    <t>01.04.2019</t>
  </si>
  <si>
    <t>Balance as at 01/04/2019 (Opening balance)</t>
  </si>
  <si>
    <r>
      <t xml:space="preserve">(b) The information contained in these  statements have been extracted from the </t>
    </r>
    <r>
      <rPr>
        <sz val="12"/>
        <color indexed="10"/>
        <rFont val="Calibri"/>
        <family val="2"/>
      </rPr>
      <t>unaudited</t>
    </r>
    <r>
      <rPr>
        <sz val="12"/>
        <rFont val="Calibri"/>
        <family val="2"/>
      </rPr>
      <t xml:space="preserve"> financial statement of the Bank.</t>
    </r>
  </si>
  <si>
    <t>in LKR million</t>
  </si>
  <si>
    <t>in INR milion</t>
  </si>
  <si>
    <t>Total comprehensive income for the period attributable to :</t>
  </si>
  <si>
    <t>Net Stable Funding Ratio (%) - (Minimum Requirement - 100%)</t>
  </si>
  <si>
    <t>FOR THE PERIOD ENDED 31.12.2019</t>
  </si>
  <si>
    <t>31.12.2019</t>
  </si>
  <si>
    <t>31.12.2018</t>
  </si>
  <si>
    <t>AS AT 31.12.2019</t>
  </si>
  <si>
    <t>Balance as at 31/12/2019 (Closing balance)</t>
  </si>
  <si>
    <t>31/12/19</t>
  </si>
  <si>
    <t>31/12/2019</t>
  </si>
  <si>
    <t>Date: 19.02.2020</t>
  </si>
  <si>
    <t>23.92%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</si>
</sst>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 #,##0_-;_-* &quot;-&quot;??_-;_-@_-"/>
    <numFmt numFmtId="167" formatCode="0.000%"/>
  </numFmts>
  <fonts count="49">
    <font>
      <sz val="11"/>
      <color theme="1"/>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b/>
      <sz val="12"/>
      <name val="Calibri"/>
      <family val="2"/>
    </font>
    <font>
      <sz val="10"/>
      <name val="Calibri"/>
      <family val="2"/>
    </font>
    <font>
      <i/>
      <sz val="11"/>
      <color indexed="8"/>
      <name val="Calibri"/>
      <family val="2"/>
    </font>
    <font>
      <sz val="12"/>
      <color indexed="10"/>
      <name val="Calibri"/>
      <family val="2"/>
    </font>
    <font>
      <sz val="11"/>
      <color indexed="10"/>
      <name val="Calibri"/>
      <family val="2"/>
    </font>
    <font>
      <b/>
      <sz val="11"/>
      <color indexed="10"/>
      <name val="Calibri"/>
      <family val="2"/>
    </font>
    <font>
      <sz val="9"/>
      <name val="Tahoma"/>
      <family val="2"/>
    </font>
    <font>
      <b/>
      <sz val="9"/>
      <name val="Tahoma"/>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sz val="11"/>
      <color rgb="FFFF0000"/>
      <name val="Calibri"/>
      <family val="2"/>
    </font>
    <font>
      <sz val="12"/>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right/>
      <top/>
      <bottom style="thin"/>
    </border>
    <border>
      <left/>
      <right/>
      <top style="medium"/>
      <bottom/>
    </border>
    <border>
      <left style="medium"/>
      <right/>
      <top style="medium"/>
      <bottom/>
    </border>
    <border>
      <left style="medium"/>
      <right/>
      <top/>
      <bottom/>
    </border>
    <border>
      <left style="medium"/>
      <right/>
      <top/>
      <bottom style="thin"/>
    </border>
    <border>
      <left style="medium"/>
      <right style="thin"/>
      <top style="thin"/>
      <bottom style="thin"/>
    </border>
    <border>
      <left style="thin"/>
      <right style="thin"/>
      <top/>
      <bottom/>
    </border>
    <border>
      <left style="thin"/>
      <right style="thin"/>
      <top/>
      <bottom style="thin"/>
    </border>
    <border>
      <left style="thin"/>
      <right/>
      <top/>
      <bottom/>
    </border>
    <border>
      <left style="thin"/>
      <right/>
      <top/>
      <bottom style="thin"/>
    </border>
    <border>
      <left/>
      <right/>
      <top style="thin"/>
      <bottom/>
    </border>
    <border>
      <left style="thin"/>
      <right/>
      <top style="thin"/>
      <bottom style="thin"/>
    </border>
    <border>
      <left/>
      <right style="thin"/>
      <top style="thin"/>
      <bottom style="thin"/>
    </border>
    <border>
      <left style="thin"/>
      <right style="medium"/>
      <top style="thin"/>
      <bottom/>
    </border>
    <border>
      <left style="thin"/>
      <right style="medium"/>
      <top/>
      <bottom/>
    </border>
    <border>
      <left style="thin"/>
      <right/>
      <top style="thin"/>
      <bottom/>
    </border>
    <border>
      <left/>
      <right/>
      <top style="thin"/>
      <bottom style="thin"/>
    </border>
    <border>
      <left/>
      <right style="thin"/>
      <top style="thin"/>
      <bottom/>
    </border>
    <border>
      <left/>
      <right style="thin"/>
      <top/>
      <bottom style="thin"/>
    </border>
    <border>
      <left style="medium"/>
      <right/>
      <top style="thin"/>
      <bottom style="thin"/>
    </border>
    <border>
      <left style="medium"/>
      <right/>
      <top style="thin"/>
      <bottom/>
    </border>
    <border>
      <left/>
      <right style="thin"/>
      <top style="thin"/>
      <bottom style="medium"/>
    </border>
    <border>
      <left style="medium"/>
      <right/>
      <top style="thin"/>
      <bottom style="medium"/>
    </border>
    <border>
      <left style="thin"/>
      <right style="thin"/>
      <top style="thin"/>
      <bottom style="double"/>
    </border>
    <border>
      <left style="thin"/>
      <right style="thin"/>
      <top style="thin"/>
      <bottom style="medium"/>
    </border>
    <border>
      <left style="thin"/>
      <right style="thin"/>
      <top style="medium"/>
      <bottom style="thin"/>
    </border>
    <border>
      <left/>
      <right style="thin"/>
      <top/>
      <bottom/>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83">
    <xf numFmtId="0" fontId="0" fillId="0" borderId="0" xfId="0" applyFont="1" applyAlignment="1">
      <alignment/>
    </xf>
    <xf numFmtId="49" fontId="0" fillId="0" borderId="0" xfId="0" applyNumberFormat="1" applyAlignment="1">
      <alignment/>
    </xf>
    <xf numFmtId="49" fontId="3" fillId="0" borderId="0" xfId="0" applyNumberFormat="1" applyFont="1" applyAlignment="1">
      <alignment/>
    </xf>
    <xf numFmtId="49" fontId="4" fillId="0" borderId="0" xfId="0" applyNumberFormat="1" applyFont="1" applyAlignment="1">
      <alignment/>
    </xf>
    <xf numFmtId="49" fontId="4" fillId="0" borderId="0" xfId="0" applyNumberFormat="1" applyFont="1" applyBorder="1" applyAlignment="1">
      <alignment/>
    </xf>
    <xf numFmtId="49" fontId="3" fillId="0" borderId="0" xfId="0" applyNumberFormat="1" applyFont="1" applyBorder="1" applyAlignment="1">
      <alignment/>
    </xf>
    <xf numFmtId="49" fontId="4" fillId="0" borderId="10" xfId="0" applyNumberFormat="1" applyFont="1" applyBorder="1" applyAlignment="1">
      <alignment/>
    </xf>
    <xf numFmtId="164" fontId="4" fillId="0" borderId="0" xfId="42" applyNumberFormat="1" applyFont="1" applyAlignment="1">
      <alignment/>
    </xf>
    <xf numFmtId="164" fontId="1" fillId="0" borderId="0" xfId="42" applyNumberFormat="1" applyFont="1" applyAlignment="1">
      <alignment/>
    </xf>
    <xf numFmtId="49" fontId="2" fillId="0" borderId="0" xfId="0" applyNumberFormat="1" applyFont="1" applyAlignment="1">
      <alignment/>
    </xf>
    <xf numFmtId="49" fontId="0" fillId="0" borderId="0" xfId="0" applyNumberFormat="1" applyFont="1" applyAlignment="1">
      <alignment/>
    </xf>
    <xf numFmtId="2" fontId="0" fillId="0" borderId="0" xfId="0" applyNumberFormat="1" applyAlignment="1">
      <alignment/>
    </xf>
    <xf numFmtId="43" fontId="1" fillId="0" borderId="0" xfId="42" applyFont="1" applyAlignment="1">
      <alignment/>
    </xf>
    <xf numFmtId="2" fontId="1" fillId="0" borderId="0" xfId="42" applyNumberFormat="1" applyFont="1" applyAlignment="1">
      <alignment/>
    </xf>
    <xf numFmtId="4" fontId="1" fillId="0" borderId="0" xfId="42" applyNumberFormat="1" applyFont="1" applyAlignment="1">
      <alignment/>
    </xf>
    <xf numFmtId="49" fontId="5"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164" fontId="3" fillId="0" borderId="0" xfId="42" applyNumberFormat="1" applyFont="1" applyBorder="1" applyAlignment="1">
      <alignment/>
    </xf>
    <xf numFmtId="164" fontId="1" fillId="0" borderId="0" xfId="42" applyNumberFormat="1" applyFont="1" applyAlignment="1">
      <alignment/>
    </xf>
    <xf numFmtId="164" fontId="1" fillId="0" borderId="0" xfId="42" applyNumberFormat="1" applyFont="1" applyBorder="1" applyAlignment="1">
      <alignment/>
    </xf>
    <xf numFmtId="0" fontId="3" fillId="0" borderId="0" xfId="0" applyFont="1" applyAlignment="1">
      <alignment/>
    </xf>
    <xf numFmtId="164" fontId="0" fillId="0" borderId="0" xfId="0" applyNumberFormat="1" applyAlignment="1">
      <alignment/>
    </xf>
    <xf numFmtId="164" fontId="0" fillId="0" borderId="0" xfId="0" applyNumberFormat="1" applyBorder="1" applyAlignment="1">
      <alignment/>
    </xf>
    <xf numFmtId="49" fontId="4" fillId="0" borderId="0" xfId="0" applyNumberFormat="1" applyFont="1" applyAlignment="1">
      <alignment horizontal="center"/>
    </xf>
    <xf numFmtId="49" fontId="3" fillId="0" borderId="11" xfId="0" applyNumberFormat="1" applyFont="1" applyBorder="1" applyAlignment="1">
      <alignment/>
    </xf>
    <xf numFmtId="49" fontId="4" fillId="0" borderId="11" xfId="0" applyNumberFormat="1" applyFont="1" applyBorder="1" applyAlignment="1">
      <alignment/>
    </xf>
    <xf numFmtId="2" fontId="4" fillId="0" borderId="11" xfId="42" applyNumberFormat="1" applyFont="1" applyBorder="1" applyAlignment="1">
      <alignment/>
    </xf>
    <xf numFmtId="164" fontId="4" fillId="0" borderId="11" xfId="42" applyNumberFormat="1" applyFont="1" applyBorder="1" applyAlignment="1">
      <alignment/>
    </xf>
    <xf numFmtId="164" fontId="3" fillId="0" borderId="11" xfId="42" applyNumberFormat="1" applyFont="1" applyBorder="1" applyAlignment="1">
      <alignment/>
    </xf>
    <xf numFmtId="49" fontId="4" fillId="33" borderId="0" xfId="0" applyNumberFormat="1" applyFont="1" applyFill="1" applyAlignment="1">
      <alignment/>
    </xf>
    <xf numFmtId="2" fontId="3" fillId="0" borderId="11" xfId="0" applyNumberFormat="1" applyFont="1" applyBorder="1" applyAlignment="1">
      <alignment/>
    </xf>
    <xf numFmtId="49" fontId="4" fillId="33" borderId="12" xfId="0" applyNumberFormat="1" applyFont="1" applyFill="1" applyBorder="1" applyAlignment="1">
      <alignment/>
    </xf>
    <xf numFmtId="0" fontId="0" fillId="0" borderId="11" xfId="0" applyBorder="1" applyAlignment="1">
      <alignment/>
    </xf>
    <xf numFmtId="0" fontId="2" fillId="0" borderId="11" xfId="0" applyFont="1" applyBorder="1" applyAlignment="1">
      <alignment/>
    </xf>
    <xf numFmtId="0" fontId="0" fillId="33" borderId="13" xfId="0" applyFill="1" applyBorder="1" applyAlignment="1">
      <alignment/>
    </xf>
    <xf numFmtId="0" fontId="0" fillId="33" borderId="12"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0" xfId="0" applyFill="1" applyBorder="1" applyAlignment="1">
      <alignment/>
    </xf>
    <xf numFmtId="0" fontId="2" fillId="33" borderId="15" xfId="0" applyFont="1" applyFill="1" applyBorder="1" applyAlignment="1">
      <alignment/>
    </xf>
    <xf numFmtId="0" fontId="0" fillId="33" borderId="16" xfId="0" applyFill="1" applyBorder="1" applyAlignment="1">
      <alignment/>
    </xf>
    <xf numFmtId="0" fontId="2" fillId="0" borderId="17" xfId="0" applyFont="1" applyBorder="1" applyAlignment="1">
      <alignment/>
    </xf>
    <xf numFmtId="49" fontId="4" fillId="33" borderId="18" xfId="0" applyNumberFormat="1" applyFont="1" applyFill="1" applyBorder="1" applyAlignment="1">
      <alignment/>
    </xf>
    <xf numFmtId="49" fontId="4" fillId="33" borderId="10" xfId="0" applyNumberFormat="1" applyFont="1" applyFill="1" applyBorder="1" applyAlignment="1">
      <alignment/>
    </xf>
    <xf numFmtId="49" fontId="3" fillId="33" borderId="18" xfId="0" applyNumberFormat="1" applyFont="1" applyFill="1" applyBorder="1" applyAlignment="1">
      <alignment/>
    </xf>
    <xf numFmtId="49" fontId="4" fillId="33" borderId="19" xfId="0" applyNumberFormat="1" applyFont="1" applyFill="1" applyBorder="1" applyAlignment="1">
      <alignment/>
    </xf>
    <xf numFmtId="164" fontId="4" fillId="33" borderId="12" xfId="42" applyNumberFormat="1" applyFont="1" applyFill="1" applyBorder="1" applyAlignment="1">
      <alignment/>
    </xf>
    <xf numFmtId="49" fontId="4" fillId="33" borderId="20" xfId="0" applyNumberFormat="1" applyFont="1" applyFill="1" applyBorder="1" applyAlignment="1">
      <alignment/>
    </xf>
    <xf numFmtId="49" fontId="4" fillId="33" borderId="21" xfId="0" applyNumberFormat="1" applyFont="1" applyFill="1" applyBorder="1" applyAlignment="1">
      <alignment/>
    </xf>
    <xf numFmtId="49" fontId="3" fillId="0" borderId="11" xfId="0" applyNumberFormat="1" applyFont="1" applyBorder="1" applyAlignment="1">
      <alignment/>
    </xf>
    <xf numFmtId="49" fontId="4" fillId="0" borderId="11" xfId="0" applyNumberFormat="1" applyFont="1" applyBorder="1" applyAlignment="1">
      <alignment/>
    </xf>
    <xf numFmtId="164" fontId="4" fillId="0" borderId="11" xfId="42" applyNumberFormat="1" applyFont="1" applyBorder="1" applyAlignment="1">
      <alignment/>
    </xf>
    <xf numFmtId="49" fontId="3" fillId="33" borderId="22" xfId="0" applyNumberFormat="1" applyFont="1" applyFill="1" applyBorder="1" applyAlignment="1">
      <alignment/>
    </xf>
    <xf numFmtId="49" fontId="3" fillId="33" borderId="0" xfId="0" applyNumberFormat="1" applyFont="1" applyFill="1" applyBorder="1" applyAlignment="1">
      <alignment/>
    </xf>
    <xf numFmtId="49" fontId="4" fillId="33" borderId="0" xfId="0" applyNumberFormat="1" applyFont="1" applyFill="1" applyBorder="1" applyAlignment="1">
      <alignment/>
    </xf>
    <xf numFmtId="49" fontId="4" fillId="0" borderId="23" xfId="0" applyNumberFormat="1" applyFont="1" applyBorder="1" applyAlignment="1">
      <alignment/>
    </xf>
    <xf numFmtId="164" fontId="4" fillId="0" borderId="24" xfId="42" applyNumberFormat="1" applyFont="1" applyBorder="1" applyAlignment="1">
      <alignment/>
    </xf>
    <xf numFmtId="164" fontId="4" fillId="0" borderId="24" xfId="42" applyNumberFormat="1" applyFont="1" applyBorder="1" applyAlignment="1">
      <alignment/>
    </xf>
    <xf numFmtId="49" fontId="3" fillId="33" borderId="0" xfId="0" applyNumberFormat="1" applyFont="1" applyFill="1" applyBorder="1" applyAlignment="1">
      <alignment/>
    </xf>
    <xf numFmtId="49" fontId="0" fillId="0" borderId="0" xfId="0" applyNumberFormat="1" applyBorder="1" applyAlignment="1">
      <alignment/>
    </xf>
    <xf numFmtId="49" fontId="3" fillId="33" borderId="10" xfId="0" applyNumberFormat="1" applyFont="1" applyFill="1" applyBorder="1" applyAlignment="1">
      <alignment horizontal="center"/>
    </xf>
    <xf numFmtId="49" fontId="3" fillId="33" borderId="18" xfId="0" applyNumberFormat="1" applyFont="1" applyFill="1" applyBorder="1" applyAlignment="1">
      <alignment horizontal="center"/>
    </xf>
    <xf numFmtId="49" fontId="3" fillId="33" borderId="19" xfId="0" applyNumberFormat="1" applyFont="1" applyFill="1" applyBorder="1" applyAlignment="1">
      <alignment horizontal="center"/>
    </xf>
    <xf numFmtId="0" fontId="0" fillId="33" borderId="10" xfId="0" applyFill="1" applyBorder="1" applyAlignment="1">
      <alignment/>
    </xf>
    <xf numFmtId="49" fontId="3" fillId="33" borderId="10" xfId="0" applyNumberFormat="1" applyFont="1" applyFill="1" applyBorder="1" applyAlignment="1">
      <alignment horizontal="right"/>
    </xf>
    <xf numFmtId="49" fontId="3" fillId="33" borderId="18" xfId="0" applyNumberFormat="1" applyFont="1" applyFill="1" applyBorder="1" applyAlignment="1">
      <alignment horizontal="center" wrapText="1"/>
    </xf>
    <xf numFmtId="49" fontId="0" fillId="33" borderId="0" xfId="0" applyNumberFormat="1" applyFill="1" applyAlignment="1">
      <alignment/>
    </xf>
    <xf numFmtId="164" fontId="1" fillId="33" borderId="0" xfId="42" applyNumberFormat="1" applyFont="1" applyFill="1" applyAlignment="1">
      <alignment/>
    </xf>
    <xf numFmtId="49" fontId="3" fillId="33" borderId="10" xfId="0" applyNumberFormat="1" applyFont="1" applyFill="1" applyBorder="1" applyAlignment="1">
      <alignment horizontal="center" vertical="center"/>
    </xf>
    <xf numFmtId="49" fontId="3" fillId="33" borderId="18" xfId="0" applyNumberFormat="1" applyFont="1" applyFill="1" applyBorder="1" applyAlignment="1">
      <alignment horizontal="center" vertical="center"/>
    </xf>
    <xf numFmtId="49" fontId="3" fillId="33" borderId="19" xfId="0" applyNumberFormat="1" applyFont="1" applyFill="1" applyBorder="1" applyAlignment="1">
      <alignment horizontal="center" vertical="center"/>
    </xf>
    <xf numFmtId="49" fontId="3" fillId="33" borderId="10" xfId="0" applyNumberFormat="1" applyFont="1" applyFill="1" applyBorder="1" applyAlignment="1">
      <alignment/>
    </xf>
    <xf numFmtId="49" fontId="3" fillId="33" borderId="19" xfId="0" applyNumberFormat="1" applyFont="1" applyFill="1" applyBorder="1" applyAlignment="1">
      <alignment/>
    </xf>
    <xf numFmtId="2" fontId="4" fillId="0" borderId="11" xfId="0" applyNumberFormat="1" applyFont="1" applyBorder="1" applyAlignment="1">
      <alignment/>
    </xf>
    <xf numFmtId="164" fontId="1" fillId="0" borderId="11" xfId="42" applyNumberFormat="1" applyFont="1" applyBorder="1" applyAlignment="1">
      <alignment/>
    </xf>
    <xf numFmtId="0" fontId="2" fillId="33" borderId="10"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xf>
    <xf numFmtId="0" fontId="2" fillId="33" borderId="25" xfId="0" applyFont="1" applyFill="1" applyBorder="1" applyAlignment="1">
      <alignment horizontal="center"/>
    </xf>
    <xf numFmtId="0" fontId="2" fillId="33" borderId="26" xfId="0" applyFont="1" applyFill="1" applyBorder="1" applyAlignment="1">
      <alignment horizontal="center"/>
    </xf>
    <xf numFmtId="164" fontId="3" fillId="33" borderId="0" xfId="42" applyNumberFormat="1" applyFont="1" applyFill="1" applyBorder="1" applyAlignment="1">
      <alignment/>
    </xf>
    <xf numFmtId="49" fontId="4" fillId="0" borderId="20" xfId="0" applyNumberFormat="1" applyFont="1" applyBorder="1" applyAlignment="1">
      <alignment/>
    </xf>
    <xf numFmtId="164" fontId="4" fillId="0" borderId="0" xfId="42" applyNumberFormat="1" applyFont="1" applyBorder="1" applyAlignment="1">
      <alignment/>
    </xf>
    <xf numFmtId="164" fontId="4" fillId="0" borderId="23" xfId="42" applyNumberFormat="1" applyFont="1" applyBorder="1" applyAlignment="1">
      <alignment/>
    </xf>
    <xf numFmtId="164" fontId="3" fillId="0" borderId="23" xfId="42" applyNumberFormat="1" applyFont="1" applyBorder="1" applyAlignment="1">
      <alignment/>
    </xf>
    <xf numFmtId="49" fontId="4" fillId="0" borderId="11" xfId="0" applyNumberFormat="1" applyFont="1" applyBorder="1" applyAlignment="1">
      <alignment horizontal="right"/>
    </xf>
    <xf numFmtId="3" fontId="4" fillId="0" borderId="11" xfId="0" applyNumberFormat="1" applyFont="1" applyBorder="1" applyAlignment="1">
      <alignment horizontal="right"/>
    </xf>
    <xf numFmtId="164" fontId="3" fillId="0" borderId="10" xfId="42" applyNumberFormat="1" applyFont="1" applyBorder="1" applyAlignment="1">
      <alignment horizontal="center" wrapText="1"/>
    </xf>
    <xf numFmtId="164" fontId="3" fillId="33" borderId="18" xfId="42" applyNumberFormat="1" applyFont="1" applyFill="1" applyBorder="1" applyAlignment="1">
      <alignment horizontal="center"/>
    </xf>
    <xf numFmtId="164" fontId="3" fillId="0" borderId="19" xfId="42" applyNumberFormat="1" applyFont="1" applyBorder="1" applyAlignment="1">
      <alignment horizontal="center"/>
    </xf>
    <xf numFmtId="2" fontId="3" fillId="33" borderId="18" xfId="42" applyNumberFormat="1" applyFont="1" applyFill="1" applyBorder="1" applyAlignment="1">
      <alignment horizontal="center"/>
    </xf>
    <xf numFmtId="2" fontId="3" fillId="33" borderId="19" xfId="42" applyNumberFormat="1" applyFont="1" applyFill="1" applyBorder="1" applyAlignment="1">
      <alignment horizontal="center"/>
    </xf>
    <xf numFmtId="49" fontId="4" fillId="0" borderId="11" xfId="0" applyNumberFormat="1" applyFont="1" applyBorder="1" applyAlignment="1">
      <alignment horizontal="center"/>
    </xf>
    <xf numFmtId="49" fontId="4" fillId="0" borderId="0" xfId="0" applyNumberFormat="1" applyFont="1" applyFill="1" applyAlignment="1">
      <alignment/>
    </xf>
    <xf numFmtId="2" fontId="2" fillId="0" borderId="0" xfId="0" applyNumberFormat="1" applyFont="1" applyAlignment="1">
      <alignment/>
    </xf>
    <xf numFmtId="49" fontId="4" fillId="0" borderId="11" xfId="0" applyNumberFormat="1" applyFont="1" applyFill="1" applyBorder="1" applyAlignment="1">
      <alignment horizontal="right"/>
    </xf>
    <xf numFmtId="3" fontId="4" fillId="0" borderId="11" xfId="0" applyNumberFormat="1" applyFont="1" applyFill="1" applyBorder="1" applyAlignment="1">
      <alignment horizontal="right"/>
    </xf>
    <xf numFmtId="164" fontId="2" fillId="0" borderId="11" xfId="42" applyNumberFormat="1" applyFont="1" applyBorder="1" applyAlignment="1">
      <alignment/>
    </xf>
    <xf numFmtId="164" fontId="4" fillId="0" borderId="11" xfId="42" applyNumberFormat="1" applyFont="1" applyFill="1" applyBorder="1" applyAlignment="1">
      <alignment/>
    </xf>
    <xf numFmtId="0" fontId="6" fillId="0" borderId="0" xfId="0" applyFont="1" applyAlignment="1">
      <alignment horizontal="left" wrapText="1"/>
    </xf>
    <xf numFmtId="0" fontId="6" fillId="0" borderId="0" xfId="0" applyFont="1" applyAlignment="1">
      <alignment horizontal="left"/>
    </xf>
    <xf numFmtId="164" fontId="4" fillId="0" borderId="11" xfId="44" applyNumberFormat="1" applyFont="1" applyBorder="1" applyAlignment="1">
      <alignment/>
    </xf>
    <xf numFmtId="164" fontId="0" fillId="0" borderId="0" xfId="42" applyNumberFormat="1" applyFont="1" applyAlignment="1">
      <alignment/>
    </xf>
    <xf numFmtId="10" fontId="4" fillId="0" borderId="11" xfId="60" applyNumberFormat="1" applyFont="1" applyBorder="1" applyAlignment="1">
      <alignment horizontal="right"/>
    </xf>
    <xf numFmtId="0" fontId="7" fillId="0" borderId="0" xfId="0" applyFont="1" applyAlignment="1">
      <alignment horizontal="left"/>
    </xf>
    <xf numFmtId="0" fontId="8" fillId="0" borderId="0" xfId="0" applyFont="1" applyBorder="1" applyAlignment="1">
      <alignment/>
    </xf>
    <xf numFmtId="165" fontId="8" fillId="0" borderId="0" xfId="0" applyNumberFormat="1" applyFont="1" applyBorder="1" applyAlignment="1">
      <alignment/>
    </xf>
    <xf numFmtId="2" fontId="2" fillId="0" borderId="0" xfId="42" applyNumberFormat="1" applyFont="1" applyAlignment="1">
      <alignment/>
    </xf>
    <xf numFmtId="49" fontId="4" fillId="33" borderId="11" xfId="0" applyNumberFormat="1" applyFont="1" applyFill="1" applyBorder="1" applyAlignment="1">
      <alignment/>
    </xf>
    <xf numFmtId="49" fontId="3" fillId="34" borderId="10" xfId="0" applyNumberFormat="1" applyFont="1" applyFill="1" applyBorder="1" applyAlignment="1">
      <alignment/>
    </xf>
    <xf numFmtId="49" fontId="3" fillId="34" borderId="19" xfId="0" applyNumberFormat="1" applyFont="1" applyFill="1" applyBorder="1" applyAlignment="1">
      <alignment/>
    </xf>
    <xf numFmtId="49" fontId="3" fillId="34" borderId="19" xfId="0" applyNumberFormat="1" applyFont="1" applyFill="1" applyBorder="1" applyAlignment="1">
      <alignment horizontal="center" vertical="center"/>
    </xf>
    <xf numFmtId="164" fontId="3" fillId="0" borderId="11" xfId="44" applyNumberFormat="1" applyFont="1" applyBorder="1" applyAlignment="1">
      <alignment/>
    </xf>
    <xf numFmtId="164" fontId="4" fillId="0" borderId="0" xfId="44" applyNumberFormat="1" applyFont="1" applyBorder="1" applyAlignment="1">
      <alignment/>
    </xf>
    <xf numFmtId="49" fontId="4" fillId="34" borderId="20" xfId="0" applyNumberFormat="1" applyFont="1" applyFill="1" applyBorder="1" applyAlignment="1">
      <alignment/>
    </xf>
    <xf numFmtId="49" fontId="4" fillId="34" borderId="0" xfId="0" applyNumberFormat="1" applyFont="1" applyFill="1" applyBorder="1" applyAlignment="1">
      <alignment/>
    </xf>
    <xf numFmtId="43" fontId="0" fillId="0" borderId="0" xfId="42" applyFont="1" applyAlignment="1">
      <alignment/>
    </xf>
    <xf numFmtId="164" fontId="2" fillId="0" borderId="0" xfId="42" applyNumberFormat="1" applyFont="1" applyBorder="1" applyAlignment="1">
      <alignment/>
    </xf>
    <xf numFmtId="164" fontId="2" fillId="33" borderId="10" xfId="42" applyNumberFormat="1" applyFont="1" applyFill="1" applyBorder="1" applyAlignment="1">
      <alignment horizontal="center"/>
    </xf>
    <xf numFmtId="164" fontId="2" fillId="33" borderId="18" xfId="42" applyNumberFormat="1" applyFont="1" applyFill="1" applyBorder="1" applyAlignment="1">
      <alignment horizontal="center"/>
    </xf>
    <xf numFmtId="164" fontId="2" fillId="33" borderId="19" xfId="42" applyNumberFormat="1" applyFont="1" applyFill="1" applyBorder="1" applyAlignment="1">
      <alignment/>
    </xf>
    <xf numFmtId="164" fontId="0" fillId="0" borderId="11" xfId="42" applyNumberFormat="1" applyFont="1" applyBorder="1" applyAlignment="1">
      <alignment/>
    </xf>
    <xf numFmtId="164" fontId="0" fillId="0" borderId="0" xfId="42" applyNumberFormat="1" applyFont="1" applyBorder="1" applyAlignment="1">
      <alignment/>
    </xf>
    <xf numFmtId="164" fontId="3" fillId="0" borderId="11" xfId="42" applyNumberFormat="1" applyFont="1" applyBorder="1" applyAlignment="1">
      <alignment horizontal="center"/>
    </xf>
    <xf numFmtId="164" fontId="1" fillId="0" borderId="11" xfId="42" applyNumberFormat="1" applyFont="1" applyFill="1" applyBorder="1" applyAlignment="1">
      <alignment/>
    </xf>
    <xf numFmtId="164" fontId="3" fillId="0" borderId="11" xfId="44" applyNumberFormat="1" applyFont="1" applyFill="1" applyBorder="1" applyAlignment="1">
      <alignment/>
    </xf>
    <xf numFmtId="164" fontId="3" fillId="0" borderId="11" xfId="42" applyNumberFormat="1" applyFont="1" applyBorder="1" applyAlignment="1">
      <alignment/>
    </xf>
    <xf numFmtId="164" fontId="3" fillId="0" borderId="24" xfId="42" applyNumberFormat="1" applyFont="1" applyBorder="1" applyAlignment="1">
      <alignment/>
    </xf>
    <xf numFmtId="49" fontId="3" fillId="0" borderId="11" xfId="0" applyNumberFormat="1" applyFont="1" applyFill="1" applyBorder="1" applyAlignment="1">
      <alignment horizontal="center" vertical="center" wrapText="1"/>
    </xf>
    <xf numFmtId="49" fontId="3" fillId="0" borderId="0" xfId="0" applyNumberFormat="1" applyFont="1" applyFill="1" applyBorder="1" applyAlignment="1">
      <alignment/>
    </xf>
    <xf numFmtId="2" fontId="43" fillId="0" borderId="0" xfId="0" applyNumberFormat="1" applyFont="1" applyAlignment="1">
      <alignment/>
    </xf>
    <xf numFmtId="49" fontId="43" fillId="0" borderId="0" xfId="0" applyNumberFormat="1" applyFont="1" applyAlignment="1">
      <alignment/>
    </xf>
    <xf numFmtId="9" fontId="4" fillId="0" borderId="11" xfId="60" applyFont="1" applyBorder="1" applyAlignment="1">
      <alignment horizontal="right"/>
    </xf>
    <xf numFmtId="49" fontId="3" fillId="0" borderId="18" xfId="0" applyNumberFormat="1" applyFont="1" applyFill="1" applyBorder="1" applyAlignment="1">
      <alignment horizontal="center"/>
    </xf>
    <xf numFmtId="10" fontId="4" fillId="0" borderId="11" xfId="60" applyNumberFormat="1" applyFont="1" applyFill="1" applyBorder="1" applyAlignment="1">
      <alignment horizontal="right"/>
    </xf>
    <xf numFmtId="0" fontId="0" fillId="0" borderId="0" xfId="0" applyFill="1" applyAlignment="1">
      <alignment/>
    </xf>
    <xf numFmtId="49" fontId="4" fillId="0" borderId="27" xfId="0" applyNumberFormat="1" applyFont="1" applyFill="1" applyBorder="1" applyAlignment="1">
      <alignment/>
    </xf>
    <xf numFmtId="49" fontId="3" fillId="0" borderId="20" xfId="0" applyNumberFormat="1" applyFont="1" applyFill="1" applyBorder="1" applyAlignment="1">
      <alignment/>
    </xf>
    <xf numFmtId="49" fontId="4" fillId="0" borderId="20" xfId="0" applyNumberFormat="1" applyFont="1" applyFill="1" applyBorder="1" applyAlignment="1">
      <alignment/>
    </xf>
    <xf numFmtId="49" fontId="3" fillId="0" borderId="19" xfId="0" applyNumberFormat="1" applyFont="1" applyFill="1" applyBorder="1" applyAlignment="1">
      <alignment horizontal="center" wrapText="1"/>
    </xf>
    <xf numFmtId="49" fontId="3" fillId="0" borderId="11" xfId="0" applyNumberFormat="1" applyFont="1" applyFill="1" applyBorder="1" applyAlignment="1">
      <alignment/>
    </xf>
    <xf numFmtId="2" fontId="3" fillId="0" borderId="11" xfId="0" applyNumberFormat="1" applyFont="1" applyFill="1" applyBorder="1" applyAlignment="1">
      <alignment/>
    </xf>
    <xf numFmtId="49" fontId="4" fillId="0" borderId="11" xfId="0" applyNumberFormat="1" applyFont="1" applyFill="1" applyBorder="1" applyAlignment="1">
      <alignment/>
    </xf>
    <xf numFmtId="164" fontId="3" fillId="0" borderId="11" xfId="42" applyNumberFormat="1" applyFont="1" applyFill="1" applyBorder="1" applyAlignment="1">
      <alignment/>
    </xf>
    <xf numFmtId="10" fontId="4" fillId="0" borderId="11" xfId="0" applyNumberFormat="1" applyFont="1" applyFill="1" applyBorder="1" applyAlignment="1">
      <alignment horizontal="right"/>
    </xf>
    <xf numFmtId="49" fontId="4" fillId="14" borderId="28" xfId="0" applyNumberFormat="1" applyFont="1" applyFill="1" applyBorder="1" applyAlignment="1">
      <alignment/>
    </xf>
    <xf numFmtId="49" fontId="4" fillId="14" borderId="24" xfId="0" applyNumberFormat="1" applyFont="1" applyFill="1" applyBorder="1" applyAlignment="1">
      <alignment/>
    </xf>
    <xf numFmtId="49" fontId="3" fillId="14" borderId="23" xfId="0" applyNumberFormat="1" applyFont="1" applyFill="1" applyBorder="1" applyAlignment="1">
      <alignment horizontal="center" vertical="center"/>
    </xf>
    <xf numFmtId="49" fontId="4" fillId="14" borderId="22" xfId="0" applyNumberFormat="1" applyFont="1" applyFill="1" applyBorder="1" applyAlignment="1">
      <alignment/>
    </xf>
    <xf numFmtId="49" fontId="4" fillId="14" borderId="29" xfId="0" applyNumberFormat="1" applyFont="1" applyFill="1" applyBorder="1" applyAlignment="1">
      <alignment/>
    </xf>
    <xf numFmtId="49" fontId="4" fillId="14" borderId="12" xfId="0" applyNumberFormat="1" applyFont="1" applyFill="1" applyBorder="1" applyAlignment="1">
      <alignment/>
    </xf>
    <xf numFmtId="49" fontId="4" fillId="14" borderId="30" xfId="0" applyNumberFormat="1" applyFont="1" applyFill="1" applyBorder="1" applyAlignment="1">
      <alignment/>
    </xf>
    <xf numFmtId="49" fontId="4" fillId="0" borderId="0" xfId="0" applyNumberFormat="1" applyFont="1" applyFill="1" applyBorder="1" applyAlignment="1">
      <alignment/>
    </xf>
    <xf numFmtId="164" fontId="4" fillId="0" borderId="11" xfId="45" applyNumberFormat="1" applyFont="1" applyBorder="1" applyAlignment="1">
      <alignment/>
    </xf>
    <xf numFmtId="164" fontId="1" fillId="0" borderId="0" xfId="42" applyNumberFormat="1" applyFont="1" applyFill="1" applyAlignment="1">
      <alignment/>
    </xf>
    <xf numFmtId="164" fontId="4" fillId="0" borderId="11" xfId="42" applyNumberFormat="1" applyFont="1" applyFill="1" applyBorder="1" applyAlignment="1">
      <alignment horizontal="right"/>
    </xf>
    <xf numFmtId="164" fontId="4" fillId="0" borderId="12" xfId="42" applyNumberFormat="1" applyFont="1" applyFill="1" applyBorder="1" applyAlignment="1">
      <alignment/>
    </xf>
    <xf numFmtId="4" fontId="1" fillId="0" borderId="0" xfId="42" applyNumberFormat="1" applyFont="1" applyFill="1" applyAlignment="1">
      <alignment/>
    </xf>
    <xf numFmtId="2" fontId="1" fillId="0" borderId="0" xfId="42" applyNumberFormat="1" applyFont="1" applyFill="1" applyAlignment="1">
      <alignment/>
    </xf>
    <xf numFmtId="165" fontId="8" fillId="0" borderId="0" xfId="0" applyNumberFormat="1" applyFont="1" applyFill="1" applyBorder="1" applyAlignment="1">
      <alignment/>
    </xf>
    <xf numFmtId="0" fontId="6" fillId="0" borderId="0" xfId="0" applyFont="1" applyFill="1" applyAlignment="1">
      <alignment horizontal="left"/>
    </xf>
    <xf numFmtId="49" fontId="5" fillId="0" borderId="0" xfId="0" applyNumberFormat="1" applyFont="1" applyFill="1" applyBorder="1" applyAlignment="1">
      <alignment/>
    </xf>
    <xf numFmtId="49" fontId="3" fillId="0" borderId="19" xfId="0" applyNumberFormat="1" applyFont="1" applyBorder="1" applyAlignment="1">
      <alignment/>
    </xf>
    <xf numFmtId="164" fontId="3" fillId="0" borderId="19" xfId="42" applyNumberFormat="1" applyFont="1" applyBorder="1" applyAlignment="1">
      <alignment/>
    </xf>
    <xf numFmtId="164" fontId="3" fillId="0" borderId="10" xfId="42" applyNumberFormat="1" applyFont="1" applyBorder="1" applyAlignment="1">
      <alignment/>
    </xf>
    <xf numFmtId="49" fontId="2" fillId="0" borderId="0" xfId="0" applyNumberFormat="1" applyFont="1" applyBorder="1" applyAlignment="1">
      <alignment/>
    </xf>
    <xf numFmtId="49" fontId="4" fillId="0" borderId="19" xfId="0" applyNumberFormat="1" applyFont="1" applyBorder="1" applyAlignment="1">
      <alignment/>
    </xf>
    <xf numFmtId="164" fontId="4" fillId="0" borderId="19" xfId="42" applyNumberFormat="1" applyFont="1" applyBorder="1" applyAlignment="1">
      <alignment/>
    </xf>
    <xf numFmtId="164" fontId="4" fillId="0" borderId="10" xfId="42" applyNumberFormat="1" applyFont="1" applyBorder="1" applyAlignment="1">
      <alignment/>
    </xf>
    <xf numFmtId="164" fontId="4" fillId="0" borderId="19" xfId="42" applyNumberFormat="1" applyFont="1" applyFill="1" applyBorder="1" applyAlignment="1">
      <alignment/>
    </xf>
    <xf numFmtId="49" fontId="4" fillId="0" borderId="18" xfId="0" applyNumberFormat="1" applyFont="1" applyBorder="1" applyAlignment="1">
      <alignment/>
    </xf>
    <xf numFmtId="49" fontId="0" fillId="0" borderId="20" xfId="0" applyNumberFormat="1" applyBorder="1" applyAlignment="1">
      <alignment/>
    </xf>
    <xf numFmtId="49" fontId="45" fillId="0" borderId="0" xfId="0" applyNumberFormat="1" applyFont="1" applyAlignment="1">
      <alignment/>
    </xf>
    <xf numFmtId="49" fontId="3" fillId="0" borderId="10" xfId="0" applyNumberFormat="1" applyFont="1" applyBorder="1" applyAlignment="1">
      <alignment/>
    </xf>
    <xf numFmtId="164" fontId="4" fillId="0" borderId="29" xfId="42" applyNumberFormat="1" applyFont="1" applyBorder="1" applyAlignment="1">
      <alignment/>
    </xf>
    <xf numFmtId="49" fontId="3" fillId="33" borderId="19" xfId="0" applyNumberFormat="1" applyFont="1" applyFill="1" applyBorder="1" applyAlignment="1">
      <alignment horizontal="center" wrapText="1"/>
    </xf>
    <xf numFmtId="0" fontId="0" fillId="0" borderId="0" xfId="0" applyFont="1" applyFill="1" applyAlignment="1">
      <alignment/>
    </xf>
    <xf numFmtId="49" fontId="4" fillId="0" borderId="11" xfId="0" applyNumberFormat="1" applyFont="1" applyFill="1" applyBorder="1" applyAlignment="1">
      <alignment wrapText="1"/>
    </xf>
    <xf numFmtId="49" fontId="4" fillId="0" borderId="11" xfId="0" applyNumberFormat="1" applyFont="1" applyFill="1" applyBorder="1" applyAlignment="1">
      <alignment/>
    </xf>
    <xf numFmtId="49" fontId="4" fillId="0" borderId="0" xfId="0" applyNumberFormat="1" applyFont="1" applyFill="1" applyAlignment="1">
      <alignment horizontal="left"/>
    </xf>
    <xf numFmtId="10" fontId="6" fillId="0" borderId="11" xfId="0" applyNumberFormat="1" applyFont="1" applyFill="1" applyBorder="1" applyAlignment="1">
      <alignment/>
    </xf>
    <xf numFmtId="49" fontId="3" fillId="33" borderId="22" xfId="0" applyNumberFormat="1" applyFont="1" applyFill="1" applyBorder="1" applyAlignment="1">
      <alignment/>
    </xf>
    <xf numFmtId="49" fontId="3" fillId="33" borderId="20" xfId="0" applyNumberFormat="1" applyFont="1" applyFill="1" applyBorder="1" applyAlignment="1">
      <alignment/>
    </xf>
    <xf numFmtId="49" fontId="3" fillId="34" borderId="0" xfId="0" applyNumberFormat="1" applyFont="1" applyFill="1" applyBorder="1" applyAlignment="1">
      <alignment/>
    </xf>
    <xf numFmtId="49" fontId="3" fillId="0" borderId="0" xfId="0" applyNumberFormat="1" applyFont="1" applyFill="1" applyBorder="1" applyAlignment="1">
      <alignment/>
    </xf>
    <xf numFmtId="49" fontId="3" fillId="34" borderId="21" xfId="0" applyNumberFormat="1" applyFont="1" applyFill="1" applyBorder="1" applyAlignment="1">
      <alignment/>
    </xf>
    <xf numFmtId="49" fontId="3" fillId="34" borderId="12" xfId="0" applyNumberFormat="1" applyFont="1" applyFill="1" applyBorder="1" applyAlignment="1">
      <alignment/>
    </xf>
    <xf numFmtId="49" fontId="3" fillId="14" borderId="11" xfId="0" applyNumberFormat="1" applyFont="1" applyFill="1" applyBorder="1" applyAlignment="1">
      <alignment/>
    </xf>
    <xf numFmtId="49" fontId="3" fillId="34" borderId="11" xfId="0" applyNumberFormat="1" applyFont="1" applyFill="1" applyBorder="1" applyAlignment="1">
      <alignment/>
    </xf>
    <xf numFmtId="49" fontId="3" fillId="33" borderId="11" xfId="0" applyNumberFormat="1" applyFont="1" applyFill="1" applyBorder="1" applyAlignment="1">
      <alignment horizontal="center" vertical="center"/>
    </xf>
    <xf numFmtId="49" fontId="3" fillId="34" borderId="11" xfId="0" applyNumberFormat="1" applyFont="1" applyFill="1" applyBorder="1" applyAlignment="1">
      <alignment horizontal="center" vertical="center"/>
    </xf>
    <xf numFmtId="0" fontId="43" fillId="33" borderId="16" xfId="0" applyFont="1" applyFill="1" applyBorder="1" applyAlignment="1">
      <alignment/>
    </xf>
    <xf numFmtId="0" fontId="2" fillId="0" borderId="31" xfId="0" applyFont="1" applyBorder="1" applyAlignment="1">
      <alignment/>
    </xf>
    <xf numFmtId="0" fontId="2" fillId="0" borderId="24" xfId="0" applyFont="1" applyBorder="1" applyAlignment="1">
      <alignment/>
    </xf>
    <xf numFmtId="0" fontId="0" fillId="33" borderId="32" xfId="0" applyFill="1" applyBorder="1" applyAlignment="1">
      <alignment/>
    </xf>
    <xf numFmtId="0" fontId="0" fillId="33" borderId="22" xfId="0" applyFill="1" applyBorder="1" applyAlignment="1">
      <alignment/>
    </xf>
    <xf numFmtId="164" fontId="2" fillId="0" borderId="0" xfId="42" applyNumberFormat="1" applyFont="1" applyBorder="1" applyAlignment="1">
      <alignment/>
    </xf>
    <xf numFmtId="0" fontId="0" fillId="0" borderId="24" xfId="0" applyBorder="1" applyAlignment="1">
      <alignment/>
    </xf>
    <xf numFmtId="0" fontId="0" fillId="0" borderId="23" xfId="0" applyBorder="1" applyAlignment="1">
      <alignment/>
    </xf>
    <xf numFmtId="0" fontId="2" fillId="0" borderId="32" xfId="0" applyFont="1" applyBorder="1" applyAlignment="1">
      <alignment/>
    </xf>
    <xf numFmtId="0" fontId="2" fillId="0" borderId="29" xfId="0" applyFont="1" applyBorder="1" applyAlignment="1">
      <alignment/>
    </xf>
    <xf numFmtId="0" fontId="2" fillId="0" borderId="33" xfId="0" applyFont="1" applyBorder="1" applyAlignment="1">
      <alignment/>
    </xf>
    <xf numFmtId="0" fontId="2" fillId="0" borderId="34" xfId="0" applyFont="1" applyBorder="1" applyAlignment="1">
      <alignment/>
    </xf>
    <xf numFmtId="164" fontId="3" fillId="0" borderId="18" xfId="42" applyNumberFormat="1" applyFont="1" applyBorder="1" applyAlignment="1">
      <alignment horizontal="center" wrapText="1"/>
    </xf>
    <xf numFmtId="49" fontId="3" fillId="0" borderId="11" xfId="0" applyNumberFormat="1" applyFont="1" applyFill="1" applyBorder="1" applyAlignment="1">
      <alignment horizontal="center"/>
    </xf>
    <xf numFmtId="49" fontId="4" fillId="0" borderId="19" xfId="0" applyNumberFormat="1" applyFont="1" applyFill="1" applyBorder="1" applyAlignment="1">
      <alignment/>
    </xf>
    <xf numFmtId="49" fontId="3" fillId="0" borderId="18" xfId="0" applyNumberFormat="1" applyFont="1" applyFill="1" applyBorder="1" applyAlignment="1">
      <alignment horizontal="center" wrapText="1"/>
    </xf>
    <xf numFmtId="164" fontId="3" fillId="0" borderId="35" xfId="42" applyNumberFormat="1" applyFont="1" applyFill="1" applyBorder="1" applyAlignment="1">
      <alignment/>
    </xf>
    <xf numFmtId="164" fontId="4" fillId="0" borderId="10" xfId="42" applyNumberFormat="1" applyFont="1" applyFill="1" applyBorder="1" applyAlignment="1">
      <alignment horizontal="right"/>
    </xf>
    <xf numFmtId="164" fontId="3" fillId="0" borderId="11" xfId="42" applyNumberFormat="1" applyFont="1" applyFill="1" applyBorder="1" applyAlignment="1">
      <alignment horizontal="right"/>
    </xf>
    <xf numFmtId="164" fontId="3" fillId="0" borderId="35" xfId="42" applyNumberFormat="1" applyFont="1" applyFill="1" applyBorder="1" applyAlignment="1">
      <alignment horizontal="right"/>
    </xf>
    <xf numFmtId="164" fontId="4" fillId="0" borderId="19" xfId="42" applyNumberFormat="1" applyFont="1" applyFill="1" applyBorder="1" applyAlignment="1">
      <alignment horizontal="right"/>
    </xf>
    <xf numFmtId="164" fontId="3" fillId="0" borderId="10" xfId="42" applyNumberFormat="1" applyFont="1" applyFill="1" applyBorder="1" applyAlignment="1">
      <alignment horizontal="center" wrapText="1"/>
    </xf>
    <xf numFmtId="164" fontId="3" fillId="0" borderId="10" xfId="44" applyNumberFormat="1" applyFont="1" applyFill="1" applyBorder="1" applyAlignment="1">
      <alignment horizontal="center" wrapText="1"/>
    </xf>
    <xf numFmtId="164" fontId="3" fillId="0" borderId="18" xfId="42" applyNumberFormat="1" applyFont="1" applyFill="1" applyBorder="1" applyAlignment="1">
      <alignment horizontal="center" wrapText="1"/>
    </xf>
    <xf numFmtId="164" fontId="3" fillId="0" borderId="18" xfId="44" applyNumberFormat="1" applyFont="1" applyFill="1" applyBorder="1" applyAlignment="1">
      <alignment horizontal="center" wrapText="1"/>
    </xf>
    <xf numFmtId="164" fontId="3" fillId="0" borderId="18" xfId="42" applyNumberFormat="1" applyFont="1" applyFill="1" applyBorder="1" applyAlignment="1">
      <alignment horizontal="center"/>
    </xf>
    <xf numFmtId="164" fontId="3" fillId="0" borderId="19" xfId="44" applyNumberFormat="1" applyFont="1" applyFill="1" applyBorder="1" applyAlignment="1">
      <alignment horizontal="center"/>
    </xf>
    <xf numFmtId="2" fontId="3" fillId="0" borderId="19" xfId="42" applyNumberFormat="1" applyFont="1" applyFill="1" applyBorder="1" applyAlignment="1">
      <alignment horizontal="center"/>
    </xf>
    <xf numFmtId="43" fontId="2" fillId="0" borderId="0" xfId="42" applyFont="1" applyAlignment="1">
      <alignment/>
    </xf>
    <xf numFmtId="49" fontId="1" fillId="0" borderId="0" xfId="0" applyNumberFormat="1" applyFont="1" applyAlignment="1">
      <alignment/>
    </xf>
    <xf numFmtId="43" fontId="1" fillId="0" borderId="0" xfId="42" applyFont="1" applyAlignment="1">
      <alignment/>
    </xf>
    <xf numFmtId="164" fontId="4" fillId="0" borderId="11" xfId="42" applyNumberFormat="1" applyFont="1" applyBorder="1" applyAlignment="1">
      <alignment horizontal="right"/>
    </xf>
    <xf numFmtId="2" fontId="3" fillId="0" borderId="18" xfId="42" applyNumberFormat="1" applyFont="1" applyFill="1" applyBorder="1" applyAlignment="1">
      <alignment horizontal="center"/>
    </xf>
    <xf numFmtId="2" fontId="4" fillId="0" borderId="11" xfId="42" applyNumberFormat="1" applyFont="1" applyFill="1" applyBorder="1" applyAlignment="1">
      <alignment/>
    </xf>
    <xf numFmtId="164" fontId="4" fillId="0" borderId="30" xfId="42" applyNumberFormat="1" applyFont="1" applyFill="1" applyBorder="1" applyAlignment="1">
      <alignment/>
    </xf>
    <xf numFmtId="164" fontId="1" fillId="33" borderId="19" xfId="42" applyNumberFormat="1" applyFont="1" applyFill="1" applyBorder="1" applyAlignment="1">
      <alignment/>
    </xf>
    <xf numFmtId="164" fontId="2" fillId="0" borderId="11" xfId="42" applyNumberFormat="1" applyFont="1" applyFill="1" applyBorder="1" applyAlignment="1">
      <alignment/>
    </xf>
    <xf numFmtId="164" fontId="2" fillId="0" borderId="19" xfId="42" applyNumberFormat="1" applyFont="1" applyFill="1" applyBorder="1" applyAlignment="1">
      <alignment/>
    </xf>
    <xf numFmtId="164" fontId="2" fillId="0" borderId="19" xfId="42" applyNumberFormat="1" applyFont="1" applyBorder="1" applyAlignment="1">
      <alignment/>
    </xf>
    <xf numFmtId="164" fontId="2" fillId="0" borderId="36" xfId="42" applyNumberFormat="1" applyFont="1" applyFill="1" applyBorder="1" applyAlignment="1">
      <alignment/>
    </xf>
    <xf numFmtId="164" fontId="2" fillId="0" borderId="10" xfId="42" applyNumberFormat="1" applyFont="1" applyFill="1" applyBorder="1" applyAlignment="1">
      <alignment/>
    </xf>
    <xf numFmtId="164" fontId="2" fillId="0" borderId="37" xfId="42" applyNumberFormat="1" applyFont="1" applyFill="1" applyBorder="1" applyAlignment="1">
      <alignment/>
    </xf>
    <xf numFmtId="164" fontId="2" fillId="0" borderId="37" xfId="42" applyNumberFormat="1" applyFont="1" applyBorder="1" applyAlignment="1">
      <alignment/>
    </xf>
    <xf numFmtId="164" fontId="2" fillId="33" borderId="37" xfId="42" applyNumberFormat="1" applyFont="1" applyFill="1" applyBorder="1" applyAlignment="1">
      <alignment/>
    </xf>
    <xf numFmtId="164" fontId="2" fillId="0" borderId="11" xfId="42" applyNumberFormat="1" applyFont="1" applyFill="1" applyBorder="1" applyAlignment="1">
      <alignment/>
    </xf>
    <xf numFmtId="0" fontId="2" fillId="33" borderId="19" xfId="0" applyFont="1" applyFill="1" applyBorder="1" applyAlignment="1">
      <alignment horizontal="center"/>
    </xf>
    <xf numFmtId="10" fontId="4" fillId="0" borderId="11" xfId="60" applyNumberFormat="1" applyFont="1" applyFill="1" applyBorder="1" applyAlignment="1">
      <alignment horizontal="center"/>
    </xf>
    <xf numFmtId="4" fontId="0" fillId="0" borderId="0" xfId="0" applyNumberFormat="1" applyAlignment="1">
      <alignment/>
    </xf>
    <xf numFmtId="43" fontId="0" fillId="0" borderId="0" xfId="42" applyFont="1" applyBorder="1" applyAlignment="1">
      <alignment/>
    </xf>
    <xf numFmtId="43" fontId="0" fillId="0" borderId="0" xfId="0" applyNumberFormat="1" applyAlignment="1">
      <alignment/>
    </xf>
    <xf numFmtId="0" fontId="0" fillId="0" borderId="0" xfId="0" applyAlignment="1">
      <alignment horizontal="center"/>
    </xf>
    <xf numFmtId="43" fontId="0" fillId="0" borderId="0" xfId="42" applyFont="1" applyAlignment="1">
      <alignment horizontal="center"/>
    </xf>
    <xf numFmtId="164" fontId="43" fillId="0" borderId="0" xfId="42" applyNumberFormat="1" applyFont="1" applyAlignment="1">
      <alignment/>
    </xf>
    <xf numFmtId="164" fontId="46" fillId="0" borderId="0" xfId="0" applyNumberFormat="1" applyFont="1" applyAlignment="1">
      <alignment/>
    </xf>
    <xf numFmtId="164" fontId="44" fillId="0" borderId="0" xfId="0" applyNumberFormat="1" applyFont="1" applyAlignment="1">
      <alignment/>
    </xf>
    <xf numFmtId="164" fontId="1" fillId="0" borderId="11" xfId="42" applyNumberFormat="1" applyFont="1" applyFill="1" applyBorder="1" applyAlignment="1">
      <alignment/>
    </xf>
    <xf numFmtId="3" fontId="4" fillId="0" borderId="11" xfId="42" applyNumberFormat="1" applyFont="1" applyFill="1" applyBorder="1" applyAlignment="1">
      <alignment horizontal="right"/>
    </xf>
    <xf numFmtId="49" fontId="3" fillId="0" borderId="11" xfId="0" applyNumberFormat="1" applyFont="1" applyFill="1" applyBorder="1" applyAlignment="1">
      <alignment horizontal="center"/>
    </xf>
    <xf numFmtId="164" fontId="3" fillId="0" borderId="19" xfId="42" applyNumberFormat="1" applyFont="1" applyFill="1" applyBorder="1" applyAlignment="1">
      <alignment horizontal="center"/>
    </xf>
    <xf numFmtId="164" fontId="3" fillId="0" borderId="18" xfId="44" applyNumberFormat="1" applyFont="1" applyFill="1" applyBorder="1" applyAlignment="1">
      <alignment horizontal="center"/>
    </xf>
    <xf numFmtId="164" fontId="4" fillId="0" borderId="11" xfId="44" applyNumberFormat="1" applyFont="1" applyFill="1" applyBorder="1" applyAlignment="1">
      <alignment/>
    </xf>
    <xf numFmtId="164" fontId="4" fillId="0" borderId="11" xfId="44" applyNumberFormat="1" applyFont="1" applyFill="1" applyBorder="1" applyAlignment="1">
      <alignment horizontal="right"/>
    </xf>
    <xf numFmtId="10" fontId="4" fillId="0" borderId="11" xfId="44" applyNumberFormat="1" applyFont="1" applyFill="1" applyBorder="1" applyAlignment="1">
      <alignment/>
    </xf>
    <xf numFmtId="0" fontId="0" fillId="0" borderId="0" xfId="0" applyFill="1" applyAlignment="1">
      <alignment/>
    </xf>
    <xf numFmtId="49" fontId="3" fillId="0" borderId="19" xfId="0" applyNumberFormat="1" applyFont="1" applyFill="1" applyBorder="1" applyAlignment="1">
      <alignment horizontal="center" wrapText="1"/>
    </xf>
    <xf numFmtId="2" fontId="3" fillId="0" borderId="11" xfId="0" applyNumberFormat="1" applyFont="1" applyFill="1" applyBorder="1" applyAlignment="1">
      <alignment/>
    </xf>
    <xf numFmtId="164" fontId="4" fillId="0" borderId="19" xfId="44" applyNumberFormat="1" applyFont="1" applyFill="1" applyBorder="1" applyAlignment="1">
      <alignment/>
    </xf>
    <xf numFmtId="49" fontId="3" fillId="0" borderId="18" xfId="0" applyNumberFormat="1" applyFont="1" applyFill="1" applyBorder="1" applyAlignment="1">
      <alignment horizontal="center" wrapText="1"/>
    </xf>
    <xf numFmtId="164" fontId="4" fillId="0" borderId="11" xfId="44" applyNumberFormat="1" applyFont="1" applyFill="1" applyBorder="1" applyAlignment="1">
      <alignment/>
    </xf>
    <xf numFmtId="164" fontId="4" fillId="0" borderId="11" xfId="44" applyNumberFormat="1" applyFont="1" applyFill="1" applyBorder="1" applyAlignment="1">
      <alignment horizontal="right"/>
    </xf>
    <xf numFmtId="49" fontId="3" fillId="0" borderId="18" xfId="57" applyNumberFormat="1" applyFont="1" applyFill="1" applyBorder="1" applyAlignment="1">
      <alignment horizontal="right"/>
      <protection/>
    </xf>
    <xf numFmtId="166" fontId="0" fillId="0" borderId="0" xfId="0" applyNumberFormat="1" applyAlignment="1">
      <alignment/>
    </xf>
    <xf numFmtId="164" fontId="4" fillId="34" borderId="11" xfId="42" applyNumberFormat="1" applyFont="1" applyFill="1" applyBorder="1" applyAlignment="1">
      <alignment/>
    </xf>
    <xf numFmtId="164" fontId="47" fillId="34" borderId="11" xfId="42" applyNumberFormat="1" applyFont="1" applyFill="1" applyBorder="1" applyAlignment="1">
      <alignment/>
    </xf>
    <xf numFmtId="167" fontId="4" fillId="0" borderId="11" xfId="60" applyNumberFormat="1" applyFont="1" applyBorder="1" applyAlignment="1">
      <alignment horizontal="right"/>
    </xf>
    <xf numFmtId="10" fontId="6" fillId="0" borderId="0" xfId="0" applyNumberFormat="1" applyFont="1" applyAlignment="1">
      <alignment/>
    </xf>
    <xf numFmtId="164" fontId="3" fillId="34" borderId="11" xfId="42" applyNumberFormat="1" applyFont="1" applyFill="1" applyBorder="1" applyAlignment="1">
      <alignment/>
    </xf>
    <xf numFmtId="164" fontId="4" fillId="34" borderId="11" xfId="42" applyNumberFormat="1" applyFont="1" applyFill="1" applyBorder="1" applyAlignment="1">
      <alignment horizontal="right"/>
    </xf>
    <xf numFmtId="10" fontId="4" fillId="34" borderId="11" xfId="42" applyNumberFormat="1" applyFont="1" applyFill="1" applyBorder="1" applyAlignment="1">
      <alignment/>
    </xf>
    <xf numFmtId="2" fontId="3" fillId="34" borderId="19" xfId="42" applyNumberFormat="1" applyFont="1" applyFill="1" applyBorder="1" applyAlignment="1">
      <alignment horizontal="center"/>
    </xf>
    <xf numFmtId="2" fontId="4" fillId="34" borderId="11" xfId="42" applyNumberFormat="1" applyFont="1" applyFill="1" applyBorder="1" applyAlignment="1">
      <alignment/>
    </xf>
    <xf numFmtId="164" fontId="1" fillId="34" borderId="0" xfId="42" applyNumberFormat="1" applyFont="1" applyFill="1" applyAlignment="1">
      <alignment/>
    </xf>
    <xf numFmtId="164" fontId="0" fillId="0" borderId="0" xfId="0" applyNumberFormat="1" applyFill="1" applyAlignment="1">
      <alignment/>
    </xf>
    <xf numFmtId="49" fontId="3" fillId="0" borderId="11" xfId="0" applyNumberFormat="1" applyFont="1" applyFill="1" applyBorder="1" applyAlignment="1">
      <alignment horizontal="center"/>
    </xf>
    <xf numFmtId="164" fontId="4" fillId="34" borderId="11" xfId="45" applyNumberFormat="1" applyFont="1" applyFill="1" applyBorder="1" applyAlignment="1">
      <alignment/>
    </xf>
    <xf numFmtId="43" fontId="3" fillId="34" borderId="0" xfId="42" applyNumberFormat="1" applyFont="1" applyFill="1" applyBorder="1" applyAlignment="1">
      <alignment horizontal="right"/>
    </xf>
    <xf numFmtId="0" fontId="0" fillId="34" borderId="0" xfId="0" applyFill="1" applyBorder="1" applyAlignment="1">
      <alignment/>
    </xf>
    <xf numFmtId="43" fontId="0" fillId="34" borderId="0" xfId="0" applyNumberFormat="1" applyFill="1" applyBorder="1" applyAlignment="1">
      <alignment/>
    </xf>
    <xf numFmtId="164" fontId="4" fillId="0" borderId="23" xfId="42" applyNumberFormat="1" applyFont="1" applyFill="1" applyBorder="1" applyAlignment="1">
      <alignment/>
    </xf>
    <xf numFmtId="164" fontId="4" fillId="0" borderId="0" xfId="44" applyNumberFormat="1" applyFont="1" applyFill="1" applyBorder="1" applyAlignment="1">
      <alignment/>
    </xf>
    <xf numFmtId="10" fontId="4" fillId="0" borderId="11" xfId="61" applyNumberFormat="1" applyFont="1" applyFill="1" applyBorder="1" applyAlignment="1">
      <alignment horizontal="right"/>
    </xf>
    <xf numFmtId="3" fontId="4" fillId="34" borderId="11" xfId="44" applyNumberFormat="1" applyFont="1" applyFill="1" applyBorder="1" applyAlignment="1">
      <alignment horizontal="right"/>
    </xf>
    <xf numFmtId="10" fontId="4" fillId="34" borderId="11" xfId="61" applyNumberFormat="1" applyFont="1" applyFill="1" applyBorder="1" applyAlignment="1">
      <alignment horizontal="right"/>
    </xf>
    <xf numFmtId="10" fontId="4" fillId="34" borderId="11" xfId="61" applyNumberFormat="1" applyFont="1" applyFill="1" applyBorder="1" applyAlignment="1">
      <alignment horizontal="right" wrapText="1"/>
    </xf>
    <xf numFmtId="164" fontId="4" fillId="34" borderId="11" xfId="44" applyNumberFormat="1" applyFont="1" applyFill="1" applyBorder="1" applyAlignment="1">
      <alignment horizontal="right"/>
    </xf>
    <xf numFmtId="10" fontId="4" fillId="34" borderId="11" xfId="61" applyNumberFormat="1" applyFont="1" applyFill="1" applyBorder="1" applyAlignment="1">
      <alignment horizontal="center"/>
    </xf>
    <xf numFmtId="164" fontId="4" fillId="34" borderId="11" xfId="44" applyNumberFormat="1" applyFont="1" applyFill="1" applyBorder="1" applyAlignment="1">
      <alignment/>
    </xf>
    <xf numFmtId="164" fontId="3" fillId="0" borderId="11" xfId="42" applyNumberFormat="1" applyFont="1" applyBorder="1" applyAlignment="1">
      <alignment horizontal="center"/>
    </xf>
    <xf numFmtId="164" fontId="3" fillId="0" borderId="11" xfId="42" applyNumberFormat="1" applyFont="1" applyFill="1" applyBorder="1" applyAlignment="1">
      <alignment horizontal="center"/>
    </xf>
    <xf numFmtId="49" fontId="3" fillId="33" borderId="27" xfId="0" applyNumberFormat="1" applyFont="1" applyFill="1" applyBorder="1" applyAlignment="1">
      <alignment horizontal="center"/>
    </xf>
    <xf numFmtId="49" fontId="3" fillId="33" borderId="22" xfId="0" applyNumberFormat="1" applyFont="1" applyFill="1" applyBorder="1" applyAlignment="1">
      <alignment horizontal="center"/>
    </xf>
    <xf numFmtId="49" fontId="3" fillId="33" borderId="29" xfId="0" applyNumberFormat="1" applyFont="1" applyFill="1" applyBorder="1" applyAlignment="1">
      <alignment horizontal="center"/>
    </xf>
    <xf numFmtId="49" fontId="3" fillId="33" borderId="20" xfId="0" applyNumberFormat="1" applyFont="1" applyFill="1" applyBorder="1" applyAlignment="1">
      <alignment horizontal="center"/>
    </xf>
    <xf numFmtId="49" fontId="3" fillId="33" borderId="0" xfId="0" applyNumberFormat="1" applyFont="1" applyFill="1" applyBorder="1" applyAlignment="1">
      <alignment horizontal="center"/>
    </xf>
    <xf numFmtId="49" fontId="3" fillId="33" borderId="38" xfId="0" applyNumberFormat="1" applyFont="1" applyFill="1" applyBorder="1" applyAlignment="1">
      <alignment horizontal="center"/>
    </xf>
    <xf numFmtId="49" fontId="3" fillId="33" borderId="21" xfId="0" applyNumberFormat="1" applyFont="1" applyFill="1" applyBorder="1" applyAlignment="1">
      <alignment horizontal="center"/>
    </xf>
    <xf numFmtId="49" fontId="3" fillId="33" borderId="12" xfId="0" applyNumberFormat="1" applyFont="1" applyFill="1" applyBorder="1" applyAlignment="1">
      <alignment horizontal="center"/>
    </xf>
    <xf numFmtId="49" fontId="3" fillId="33" borderId="30"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0" xfId="0" applyNumberFormat="1" applyFont="1" applyFill="1" applyBorder="1" applyAlignment="1">
      <alignment horizontal="center"/>
    </xf>
    <xf numFmtId="0" fontId="3" fillId="33" borderId="38" xfId="0" applyNumberFormat="1" applyFont="1" applyFill="1" applyBorder="1" applyAlignment="1">
      <alignment horizontal="center"/>
    </xf>
    <xf numFmtId="164" fontId="3" fillId="0" borderId="28" xfId="42" applyNumberFormat="1" applyFont="1" applyBorder="1" applyAlignment="1">
      <alignment horizontal="center"/>
    </xf>
    <xf numFmtId="164" fontId="3" fillId="0" borderId="24" xfId="42" applyNumberFormat="1" applyFont="1" applyBorder="1" applyAlignment="1">
      <alignment horizontal="center"/>
    </xf>
    <xf numFmtId="164" fontId="3" fillId="0" borderId="23" xfId="42" applyNumberFormat="1" applyFont="1" applyFill="1" applyBorder="1" applyAlignment="1">
      <alignment horizontal="center"/>
    </xf>
    <xf numFmtId="164" fontId="3" fillId="0" borderId="24" xfId="42" applyNumberFormat="1" applyFont="1" applyFill="1" applyBorder="1" applyAlignment="1">
      <alignment horizontal="center"/>
    </xf>
    <xf numFmtId="164" fontId="4" fillId="0" borderId="10" xfId="42" applyNumberFormat="1" applyFont="1" applyBorder="1" applyAlignment="1">
      <alignment horizontal="center" vertical="center"/>
    </xf>
    <xf numFmtId="164" fontId="4" fillId="0" borderId="19" xfId="42" applyNumberFormat="1" applyFont="1" applyBorder="1" applyAlignment="1">
      <alignment horizontal="center" vertical="center"/>
    </xf>
    <xf numFmtId="164" fontId="4" fillId="0" borderId="10" xfId="42" applyNumberFormat="1" applyFont="1" applyFill="1" applyBorder="1" applyAlignment="1">
      <alignment horizontal="center" vertical="center"/>
    </xf>
    <xf numFmtId="164" fontId="4" fillId="0" borderId="19" xfId="42" applyNumberFormat="1" applyFont="1" applyFill="1" applyBorder="1" applyAlignment="1">
      <alignment horizontal="center" vertical="center"/>
    </xf>
    <xf numFmtId="164" fontId="4" fillId="0" borderId="18" xfId="42" applyNumberFormat="1" applyFont="1" applyBorder="1" applyAlignment="1">
      <alignment horizontal="center" vertical="center"/>
    </xf>
    <xf numFmtId="164" fontId="4" fillId="0" borderId="18" xfId="42" applyNumberFormat="1" applyFont="1" applyFill="1" applyBorder="1" applyAlignment="1">
      <alignment horizontal="center" vertical="center"/>
    </xf>
    <xf numFmtId="2" fontId="3" fillId="0" borderId="23" xfId="42" applyNumberFormat="1" applyFont="1" applyBorder="1" applyAlignment="1">
      <alignment horizontal="center"/>
    </xf>
    <xf numFmtId="2" fontId="3" fillId="0" borderId="24" xfId="42" applyNumberFormat="1" applyFont="1" applyBorder="1" applyAlignment="1">
      <alignment horizontal="center"/>
    </xf>
    <xf numFmtId="2" fontId="3" fillId="0" borderId="23" xfId="42" applyNumberFormat="1" applyFont="1" applyFill="1" applyBorder="1" applyAlignment="1">
      <alignment horizontal="center"/>
    </xf>
    <xf numFmtId="2" fontId="3" fillId="0" borderId="24" xfId="42" applyNumberFormat="1" applyFont="1" applyFill="1" applyBorder="1" applyAlignment="1">
      <alignment horizontal="center"/>
    </xf>
    <xf numFmtId="164" fontId="4" fillId="34" borderId="10" xfId="42" applyNumberFormat="1" applyFont="1" applyFill="1" applyBorder="1" applyAlignment="1">
      <alignment horizontal="center" vertical="center"/>
    </xf>
    <xf numFmtId="164" fontId="4" fillId="34" borderId="19" xfId="42" applyNumberFormat="1" applyFont="1" applyFill="1" applyBorder="1" applyAlignment="1">
      <alignment horizontal="center" vertical="center"/>
    </xf>
    <xf numFmtId="164" fontId="3" fillId="0" borderId="10" xfId="44" applyNumberFormat="1" applyFont="1" applyBorder="1" applyAlignment="1">
      <alignment horizontal="center" vertical="center"/>
    </xf>
    <xf numFmtId="164" fontId="3" fillId="0" borderId="19" xfId="44" applyNumberFormat="1" applyFont="1" applyBorder="1" applyAlignment="1">
      <alignment horizontal="center" vertical="center"/>
    </xf>
    <xf numFmtId="164" fontId="4" fillId="0" borderId="10" xfId="44" applyNumberFormat="1" applyFont="1" applyBorder="1" applyAlignment="1">
      <alignment horizontal="center" vertical="center"/>
    </xf>
    <xf numFmtId="164" fontId="4" fillId="0" borderId="19" xfId="44" applyNumberFormat="1" applyFont="1" applyBorder="1" applyAlignment="1">
      <alignment horizontal="center" vertical="center"/>
    </xf>
    <xf numFmtId="164" fontId="3" fillId="0" borderId="10" xfId="42" applyNumberFormat="1" applyFont="1" applyBorder="1" applyAlignment="1">
      <alignment horizontal="center" vertical="center"/>
    </xf>
    <xf numFmtId="164" fontId="3" fillId="0" borderId="19" xfId="42" applyNumberFormat="1" applyFont="1" applyBorder="1" applyAlignment="1">
      <alignment horizontal="center" vertical="center"/>
    </xf>
    <xf numFmtId="49" fontId="3" fillId="33" borderId="18" xfId="0" applyNumberFormat="1" applyFont="1" applyFill="1" applyBorder="1" applyAlignment="1">
      <alignment horizontal="center" vertical="center" wrapText="1"/>
    </xf>
    <xf numFmtId="49" fontId="3" fillId="33" borderId="19" xfId="0" applyNumberFormat="1" applyFont="1" applyFill="1" applyBorder="1" applyAlignment="1">
      <alignment horizontal="center" vertical="center" wrapText="1"/>
    </xf>
    <xf numFmtId="49" fontId="3" fillId="35" borderId="23" xfId="0" applyNumberFormat="1" applyFont="1" applyFill="1" applyBorder="1" applyAlignment="1">
      <alignment horizontal="center"/>
    </xf>
    <xf numFmtId="49" fontId="3" fillId="35" borderId="28" xfId="0" applyNumberFormat="1" applyFont="1" applyFill="1" applyBorder="1" applyAlignment="1">
      <alignment horizontal="center"/>
    </xf>
    <xf numFmtId="49" fontId="3" fillId="35" borderId="24" xfId="0" applyNumberFormat="1" applyFont="1" applyFill="1" applyBorder="1" applyAlignment="1">
      <alignment horizontal="center"/>
    </xf>
    <xf numFmtId="49" fontId="3" fillId="36" borderId="23" xfId="0" applyNumberFormat="1" applyFont="1" applyFill="1" applyBorder="1" applyAlignment="1">
      <alignment horizontal="center"/>
    </xf>
    <xf numFmtId="49" fontId="3" fillId="36" borderId="28" xfId="0" applyNumberFormat="1" applyFont="1" applyFill="1" applyBorder="1" applyAlignment="1">
      <alignment horizontal="center"/>
    </xf>
    <xf numFmtId="49" fontId="3" fillId="36" borderId="24" xfId="0" applyNumberFormat="1" applyFont="1" applyFill="1" applyBorder="1" applyAlignment="1">
      <alignment horizontal="center"/>
    </xf>
    <xf numFmtId="49" fontId="3" fillId="14" borderId="10" xfId="0" applyNumberFormat="1" applyFont="1" applyFill="1" applyBorder="1" applyAlignment="1">
      <alignment horizontal="center" vertical="center"/>
    </xf>
    <xf numFmtId="49" fontId="3" fillId="14" borderId="19" xfId="0" applyNumberFormat="1" applyFont="1" applyFill="1" applyBorder="1" applyAlignment="1">
      <alignment horizontal="center" vertical="center"/>
    </xf>
    <xf numFmtId="49" fontId="3" fillId="0" borderId="21" xfId="0" applyNumberFormat="1" applyFont="1" applyFill="1" applyBorder="1" applyAlignment="1">
      <alignment horizontal="center"/>
    </xf>
    <xf numFmtId="49" fontId="3" fillId="0" borderId="12" xfId="0" applyNumberFormat="1" applyFont="1" applyFill="1" applyBorder="1" applyAlignment="1">
      <alignment horizontal="center"/>
    </xf>
    <xf numFmtId="49" fontId="3" fillId="0" borderId="30" xfId="0" applyNumberFormat="1" applyFont="1" applyFill="1" applyBorder="1" applyAlignment="1">
      <alignment horizontal="center"/>
    </xf>
    <xf numFmtId="49" fontId="3" fillId="0" borderId="11" xfId="0" applyNumberFormat="1" applyFont="1" applyFill="1" applyBorder="1" applyAlignment="1">
      <alignment horizontal="center"/>
    </xf>
    <xf numFmtId="49" fontId="3" fillId="0" borderId="27" xfId="0" applyNumberFormat="1" applyFont="1" applyFill="1" applyBorder="1" applyAlignment="1">
      <alignment horizontal="center"/>
    </xf>
    <xf numFmtId="49" fontId="3" fillId="0" borderId="22" xfId="0" applyNumberFormat="1" applyFont="1" applyFill="1" applyBorder="1" applyAlignment="1">
      <alignment horizontal="center"/>
    </xf>
    <xf numFmtId="49" fontId="3" fillId="0" borderId="29" xfId="0" applyNumberFormat="1" applyFont="1" applyFill="1" applyBorder="1" applyAlignment="1">
      <alignment horizontal="center"/>
    </xf>
    <xf numFmtId="49" fontId="3" fillId="0" borderId="20" xfId="0" applyNumberFormat="1" applyFont="1" applyFill="1" applyBorder="1" applyAlignment="1">
      <alignment horizontal="center"/>
    </xf>
    <xf numFmtId="49" fontId="3" fillId="0" borderId="0" xfId="0" applyNumberFormat="1" applyFont="1" applyFill="1" applyBorder="1" applyAlignment="1">
      <alignment horizontal="center"/>
    </xf>
    <xf numFmtId="49" fontId="3" fillId="0" borderId="38" xfId="0" applyNumberFormat="1" applyFont="1" applyFill="1" applyBorder="1" applyAlignment="1">
      <alignment horizontal="center"/>
    </xf>
    <xf numFmtId="0" fontId="6" fillId="0" borderId="0" xfId="0" applyFont="1" applyAlignment="1">
      <alignment horizontal="left" wrapText="1"/>
    </xf>
    <xf numFmtId="0" fontId="6" fillId="0" borderId="0" xfId="0" applyFont="1" applyAlignment="1">
      <alignment horizontal="left" vertical="top" wrapText="1"/>
    </xf>
    <xf numFmtId="0" fontId="6" fillId="0" borderId="0" xfId="0" applyFont="1" applyAlignment="1">
      <alignment horizontal="left" vertical="top"/>
    </xf>
    <xf numFmtId="49" fontId="3" fillId="0" borderId="0" xfId="0" applyNumberFormat="1" applyFont="1" applyAlignment="1">
      <alignment horizontal="left"/>
    </xf>
    <xf numFmtId="0" fontId="6" fillId="0" borderId="0" xfId="0" applyFont="1" applyAlignment="1">
      <alignment horizontal="left"/>
    </xf>
    <xf numFmtId="49" fontId="3" fillId="33" borderId="0" xfId="0" applyNumberFormat="1" applyFont="1" applyFill="1" applyAlignment="1">
      <alignment horizontal="center"/>
    </xf>
    <xf numFmtId="49" fontId="3" fillId="0" borderId="11" xfId="0" applyNumberFormat="1" applyFont="1" applyBorder="1" applyAlignment="1">
      <alignment horizontal="center"/>
    </xf>
    <xf numFmtId="49" fontId="3" fillId="0" borderId="10"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4" fillId="34" borderId="10" xfId="0" applyNumberFormat="1" applyFont="1" applyFill="1" applyBorder="1" applyAlignment="1">
      <alignment horizontal="right" vertical="center"/>
    </xf>
    <xf numFmtId="49" fontId="4" fillId="34" borderId="19" xfId="0" applyNumberFormat="1" applyFont="1" applyFill="1" applyBorder="1" applyAlignment="1">
      <alignment horizontal="right" vertical="center"/>
    </xf>
    <xf numFmtId="49" fontId="4" fillId="0" borderId="10" xfId="0" applyNumberFormat="1" applyFont="1" applyFill="1" applyBorder="1" applyAlignment="1">
      <alignment horizontal="right" vertical="center"/>
    </xf>
    <xf numFmtId="49" fontId="4" fillId="0" borderId="19" xfId="0" applyNumberFormat="1" applyFont="1" applyFill="1" applyBorder="1" applyAlignment="1">
      <alignment horizontal="right" vertical="center"/>
    </xf>
    <xf numFmtId="49" fontId="3" fillId="34" borderId="20" xfId="0" applyNumberFormat="1" applyFont="1" applyFill="1" applyBorder="1" applyAlignment="1">
      <alignment horizontal="center"/>
    </xf>
    <xf numFmtId="49" fontId="3" fillId="34" borderId="0" xfId="0" applyNumberFormat="1" applyFont="1" applyFill="1" applyBorder="1" applyAlignment="1">
      <alignment horizontal="center"/>
    </xf>
    <xf numFmtId="49" fontId="3" fillId="37" borderId="20" xfId="0" applyNumberFormat="1" applyFont="1" applyFill="1" applyBorder="1" applyAlignment="1">
      <alignment horizontal="center"/>
    </xf>
    <xf numFmtId="49" fontId="3" fillId="37" borderId="0" xfId="0" applyNumberFormat="1" applyFont="1" applyFill="1" applyBorder="1" applyAlignment="1">
      <alignment horizontal="center"/>
    </xf>
    <xf numFmtId="0" fontId="43" fillId="33" borderId="31" xfId="0" applyFont="1" applyFill="1" applyBorder="1" applyAlignment="1">
      <alignment horizontal="left"/>
    </xf>
    <xf numFmtId="0" fontId="43" fillId="33" borderId="24" xfId="0" applyFont="1" applyFill="1" applyBorder="1" applyAlignment="1">
      <alignment horizontal="left"/>
    </xf>
    <xf numFmtId="0" fontId="0" fillId="0" borderId="17" xfId="0" applyBorder="1" applyAlignment="1">
      <alignment horizontal="left"/>
    </xf>
    <xf numFmtId="0" fontId="0" fillId="0" borderId="11" xfId="0" applyBorder="1" applyAlignment="1">
      <alignment horizontal="left"/>
    </xf>
    <xf numFmtId="0" fontId="2" fillId="0" borderId="31" xfId="0" applyFont="1" applyBorder="1" applyAlignment="1">
      <alignment horizontal="center"/>
    </xf>
    <xf numFmtId="0" fontId="2" fillId="0" borderId="24"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0" fillId="0" borderId="31" xfId="0" applyBorder="1" applyAlignment="1">
      <alignment horizontal="left"/>
    </xf>
    <xf numFmtId="0" fontId="0" fillId="0" borderId="24" xfId="0" applyBorder="1" applyAlignment="1">
      <alignment horizontal="left"/>
    </xf>
    <xf numFmtId="0" fontId="2" fillId="0" borderId="23" xfId="0" applyFont="1" applyBorder="1" applyAlignment="1">
      <alignment horizontal="center" vertical="center"/>
    </xf>
    <xf numFmtId="0" fontId="2" fillId="0" borderId="24" xfId="0" applyFont="1" applyBorder="1" applyAlignment="1">
      <alignment horizontal="center" vertical="center"/>
    </xf>
    <xf numFmtId="49" fontId="3" fillId="33" borderId="20" xfId="0" applyNumberFormat="1" applyFont="1" applyFill="1" applyBorder="1" applyAlignment="1">
      <alignment horizontal="center" wrapText="1"/>
    </xf>
    <xf numFmtId="49" fontId="3" fillId="33" borderId="0" xfId="0" applyNumberFormat="1" applyFont="1" applyFill="1" applyBorder="1" applyAlignment="1">
      <alignment horizontal="center" wrapText="1"/>
    </xf>
    <xf numFmtId="0" fontId="43" fillId="33" borderId="39" xfId="0" applyFont="1" applyFill="1" applyBorder="1" applyAlignment="1">
      <alignment horizontal="left"/>
    </xf>
    <xf numFmtId="0" fontId="43" fillId="33" borderId="40" xfId="0" applyFont="1" applyFill="1" applyBorder="1" applyAlignment="1">
      <alignment horizontal="left"/>
    </xf>
    <xf numFmtId="0" fontId="2" fillId="0" borderId="11" xfId="0" applyFont="1" applyBorder="1" applyAlignment="1">
      <alignment horizontal="left"/>
    </xf>
    <xf numFmtId="0" fontId="2" fillId="0" borderId="41"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5"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thly_Returns\2019\Dec'19%20PC\MIS%20December\Publication-December%202019\PUBLICATION%20DATA-31.12.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Monthly_Returns\2019\Dec'19%20PC\MIS%20December\Publication-December%202019\PUBLICATION%20DATA-31.12.2019%20-%20Cop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COME-I"/>
      <sheetName val="INCOME-II"/>
      <sheetName val="FINANCIAL POSITION"/>
      <sheetName val="CHANGES IN EQUITY"/>
      <sheetName val="CASH FLOW"/>
      <sheetName val="SELECTED PERFORMANCE INDICATORS"/>
      <sheetName val="FINANCIAL INSTRUMENTS"/>
      <sheetName val="LOANS &amp; RECEIVABLES"/>
      <sheetName val="DEPOSITS"/>
    </sheetNames>
    <sheetDataSet>
      <sheetData sheetId="3">
        <row r="29">
          <cell r="F29">
            <v>412.3232333529999</v>
          </cell>
          <cell r="H29">
            <v>6619.057206455005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I"/>
      <sheetName val="INCOME-II"/>
      <sheetName val="FINANCIAL POSITION"/>
      <sheetName val="CHANGES IN EQUITY"/>
      <sheetName val="CASH FLOW"/>
      <sheetName val="SELECTED PERFORMANCE INDICATORS"/>
      <sheetName val="FINANCIAL INSTRUMENTS"/>
      <sheetName val="LOANS &amp; RECEIVABLES"/>
      <sheetName val="DEPOSITS"/>
    </sheetNames>
    <sheetDataSet>
      <sheetData sheetId="2">
        <row r="13">
          <cell r="B13">
            <v>6003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48"/>
  <sheetViews>
    <sheetView zoomScalePageLayoutView="0" workbookViewId="0" topLeftCell="A31">
      <selection activeCell="M48" sqref="M48"/>
    </sheetView>
  </sheetViews>
  <sheetFormatPr defaultColWidth="9.140625" defaultRowHeight="15"/>
  <cols>
    <col min="1" max="1" width="2.140625" style="1" customWidth="1"/>
    <col min="2" max="2" width="62.7109375" style="1" customWidth="1"/>
    <col min="3" max="4" width="12.7109375" style="8" customWidth="1"/>
    <col min="5" max="6" width="12.7109375" style="155" bestFit="1" customWidth="1"/>
    <col min="7" max="7" width="9.140625" style="1" customWidth="1"/>
    <col min="8" max="8" width="14.28125" style="1" hidden="1" customWidth="1"/>
    <col min="9" max="9" width="15.28125" style="1" hidden="1" customWidth="1"/>
    <col min="10" max="10" width="0" style="1" hidden="1" customWidth="1"/>
    <col min="11" max="11" width="16.8515625" style="1" bestFit="1" customWidth="1"/>
    <col min="12" max="16384" width="9.140625" style="1" customWidth="1"/>
  </cols>
  <sheetData>
    <row r="1" spans="2:6" ht="15.75">
      <c r="B1" s="291" t="s">
        <v>21</v>
      </c>
      <c r="C1" s="292"/>
      <c r="D1" s="292"/>
      <c r="E1" s="292"/>
      <c r="F1" s="293"/>
    </row>
    <row r="2" spans="2:6" ht="15.75">
      <c r="B2" s="294" t="s">
        <v>0</v>
      </c>
      <c r="C2" s="295"/>
      <c r="D2" s="295"/>
      <c r="E2" s="295"/>
      <c r="F2" s="296"/>
    </row>
    <row r="3" spans="2:6" ht="15.75">
      <c r="B3" s="300" t="s">
        <v>361</v>
      </c>
      <c r="C3" s="301"/>
      <c r="D3" s="301"/>
      <c r="E3" s="301"/>
      <c r="F3" s="302"/>
    </row>
    <row r="4" spans="2:6" ht="15.75">
      <c r="B4" s="297"/>
      <c r="C4" s="298"/>
      <c r="D4" s="298"/>
      <c r="E4" s="298"/>
      <c r="F4" s="299"/>
    </row>
    <row r="5" spans="2:6" ht="15.75">
      <c r="B5" s="44"/>
      <c r="C5" s="289" t="s">
        <v>16</v>
      </c>
      <c r="D5" s="289"/>
      <c r="E5" s="290" t="s">
        <v>25</v>
      </c>
      <c r="F5" s="290"/>
    </row>
    <row r="6" spans="2:6" ht="15.75">
      <c r="B6" s="45" t="s">
        <v>189</v>
      </c>
      <c r="C6" s="88" t="s">
        <v>318</v>
      </c>
      <c r="D6" s="214" t="s">
        <v>320</v>
      </c>
      <c r="E6" s="213" t="s">
        <v>321</v>
      </c>
      <c r="F6" s="214" t="s">
        <v>320</v>
      </c>
    </row>
    <row r="7" spans="2:6" ht="15.75">
      <c r="B7" s="45"/>
      <c r="C7" s="204" t="s">
        <v>319</v>
      </c>
      <c r="D7" s="216" t="s">
        <v>319</v>
      </c>
      <c r="E7" s="215" t="s">
        <v>319</v>
      </c>
      <c r="F7" s="216" t="s">
        <v>319</v>
      </c>
    </row>
    <row r="8" spans="2:6" ht="15.75">
      <c r="B8" s="45"/>
      <c r="C8" s="89" t="s">
        <v>18</v>
      </c>
      <c r="D8" s="251" t="s">
        <v>18</v>
      </c>
      <c r="E8" s="217" t="s">
        <v>18</v>
      </c>
      <c r="F8" s="251" t="s">
        <v>18</v>
      </c>
    </row>
    <row r="9" spans="2:6" ht="15.75">
      <c r="B9" s="43"/>
      <c r="C9" s="89" t="s">
        <v>354</v>
      </c>
      <c r="D9" s="251" t="s">
        <v>171</v>
      </c>
      <c r="E9" s="217" t="s">
        <v>354</v>
      </c>
      <c r="F9" s="251" t="s">
        <v>171</v>
      </c>
    </row>
    <row r="10" spans="2:6" ht="15.75">
      <c r="B10" s="43"/>
      <c r="C10" s="89" t="s">
        <v>19</v>
      </c>
      <c r="D10" s="251" t="s">
        <v>19</v>
      </c>
      <c r="E10" s="217" t="s">
        <v>19</v>
      </c>
      <c r="F10" s="251" t="s">
        <v>19</v>
      </c>
    </row>
    <row r="11" spans="2:6" ht="15.75">
      <c r="B11" s="43"/>
      <c r="C11" s="62" t="s">
        <v>362</v>
      </c>
      <c r="D11" s="62" t="s">
        <v>363</v>
      </c>
      <c r="E11" s="62" t="s">
        <v>362</v>
      </c>
      <c r="F11" s="62" t="s">
        <v>363</v>
      </c>
    </row>
    <row r="12" spans="2:6" ht="15.75">
      <c r="B12" s="43"/>
      <c r="C12" s="90" t="s">
        <v>99</v>
      </c>
      <c r="D12" s="218" t="s">
        <v>99</v>
      </c>
      <c r="E12" s="218" t="s">
        <v>100</v>
      </c>
      <c r="F12" s="218" t="s">
        <v>100</v>
      </c>
    </row>
    <row r="13" spans="2:6" ht="15.75">
      <c r="B13" s="109"/>
      <c r="C13" s="92"/>
      <c r="D13" s="219"/>
      <c r="E13" s="219"/>
      <c r="F13" s="219"/>
    </row>
    <row r="14" spans="2:6" ht="15.75">
      <c r="B14" s="26" t="s">
        <v>1</v>
      </c>
      <c r="C14" s="28">
        <v>1649</v>
      </c>
      <c r="D14" s="102">
        <f>1289645.106182/1000</f>
        <v>1289.6451061819998</v>
      </c>
      <c r="E14" s="264">
        <v>129639</v>
      </c>
      <c r="F14" s="252">
        <f>130747646.19606/1000</f>
        <v>130747.64619606</v>
      </c>
    </row>
    <row r="15" spans="2:6" ht="15.75">
      <c r="B15" s="26" t="s">
        <v>2</v>
      </c>
      <c r="C15" s="28">
        <v>674</v>
      </c>
      <c r="D15" s="252">
        <f>463846.801299/1000</f>
        <v>463.846801299</v>
      </c>
      <c r="E15" s="264">
        <v>91929</v>
      </c>
      <c r="F15" s="252">
        <v>92747</v>
      </c>
    </row>
    <row r="16" spans="2:6" s="9" customFormat="1" ht="15.75">
      <c r="B16" s="25" t="s">
        <v>3</v>
      </c>
      <c r="C16" s="29">
        <f>+C14-C15</f>
        <v>975</v>
      </c>
      <c r="D16" s="29">
        <f>+D14-D15</f>
        <v>825.7983048829999</v>
      </c>
      <c r="E16" s="268">
        <f>+E14-E15</f>
        <v>37710</v>
      </c>
      <c r="F16" s="144">
        <f>+F14-F15</f>
        <v>38000.64619606</v>
      </c>
    </row>
    <row r="17" spans="2:6" ht="15.75">
      <c r="B17" s="26" t="s">
        <v>4</v>
      </c>
      <c r="C17" s="28">
        <v>74</v>
      </c>
      <c r="D17" s="102">
        <f>75013.891938/1000</f>
        <v>75.013891938</v>
      </c>
      <c r="E17" s="264">
        <v>6280</v>
      </c>
      <c r="F17" s="260">
        <v>6609</v>
      </c>
    </row>
    <row r="18" spans="2:6" ht="15.75">
      <c r="B18" s="26" t="s">
        <v>5</v>
      </c>
      <c r="C18" s="28">
        <v>0</v>
      </c>
      <c r="D18" s="252">
        <v>0</v>
      </c>
      <c r="E18" s="264">
        <v>0</v>
      </c>
      <c r="F18" s="252">
        <v>0</v>
      </c>
    </row>
    <row r="19" spans="2:6" s="9" customFormat="1" ht="15.75">
      <c r="B19" s="25" t="s">
        <v>6</v>
      </c>
      <c r="C19" s="29">
        <f>+C17-C18</f>
        <v>74</v>
      </c>
      <c r="D19" s="29">
        <f>+D17-D18</f>
        <v>75.013891938</v>
      </c>
      <c r="E19" s="268">
        <f>+E17-E18</f>
        <v>6280</v>
      </c>
      <c r="F19" s="144">
        <f>+F17-F18</f>
        <v>6609</v>
      </c>
    </row>
    <row r="20" spans="2:6" ht="15.75">
      <c r="B20" s="26" t="s">
        <v>174</v>
      </c>
      <c r="C20" s="28">
        <v>4</v>
      </c>
      <c r="D20" s="252">
        <f>12844.1213085/1000</f>
        <v>12.8441213085</v>
      </c>
      <c r="E20" s="264">
        <v>309</v>
      </c>
      <c r="F20" s="260">
        <f>345680.617330235/1000</f>
        <v>345.680617330235</v>
      </c>
    </row>
    <row r="21" spans="2:6" ht="15.75">
      <c r="B21" s="26" t="s">
        <v>353</v>
      </c>
      <c r="C21" s="28"/>
      <c r="D21" s="252">
        <v>0</v>
      </c>
      <c r="E21" s="264"/>
      <c r="F21" s="252"/>
    </row>
    <row r="22" spans="2:6" ht="15.75">
      <c r="B22" s="26" t="s">
        <v>175</v>
      </c>
      <c r="C22" s="28">
        <v>0</v>
      </c>
      <c r="D22" s="252">
        <v>0</v>
      </c>
      <c r="E22" s="264">
        <v>0</v>
      </c>
      <c r="F22" s="252">
        <v>0</v>
      </c>
    </row>
    <row r="23" spans="2:6" ht="15.75">
      <c r="B23" s="26" t="s">
        <v>176</v>
      </c>
      <c r="C23" s="28">
        <v>0</v>
      </c>
      <c r="D23" s="252">
        <v>0</v>
      </c>
      <c r="E23" s="264">
        <v>0</v>
      </c>
      <c r="F23" s="252">
        <v>0</v>
      </c>
    </row>
    <row r="24" spans="2:6" ht="15.75">
      <c r="B24" s="26" t="s">
        <v>177</v>
      </c>
      <c r="C24" s="28"/>
      <c r="D24" s="252">
        <v>0</v>
      </c>
      <c r="E24" s="264"/>
      <c r="F24" s="252"/>
    </row>
    <row r="25" spans="2:6" ht="15.75">
      <c r="B25" s="26" t="s">
        <v>178</v>
      </c>
      <c r="C25" s="28">
        <v>0</v>
      </c>
      <c r="D25" s="252">
        <v>0</v>
      </c>
      <c r="E25" s="264">
        <v>0</v>
      </c>
      <c r="F25" s="252">
        <v>0</v>
      </c>
    </row>
    <row r="26" spans="2:6" ht="15.75">
      <c r="B26" s="26" t="s">
        <v>179</v>
      </c>
      <c r="C26" s="28">
        <v>0</v>
      </c>
      <c r="D26" s="260">
        <v>0</v>
      </c>
      <c r="E26" s="264">
        <v>0</v>
      </c>
      <c r="F26" s="252">
        <v>0</v>
      </c>
    </row>
    <row r="27" spans="2:6" ht="15.75">
      <c r="B27" s="26" t="s">
        <v>180</v>
      </c>
      <c r="C27" s="28">
        <v>0</v>
      </c>
      <c r="D27" s="260">
        <v>0</v>
      </c>
      <c r="E27" s="264">
        <v>0</v>
      </c>
      <c r="F27" s="252">
        <v>0</v>
      </c>
    </row>
    <row r="28" spans="2:6" ht="15.75">
      <c r="B28" s="26" t="s">
        <v>181</v>
      </c>
      <c r="C28" s="28">
        <v>11</v>
      </c>
      <c r="D28" s="260">
        <v>1</v>
      </c>
      <c r="E28" s="264">
        <v>16056</v>
      </c>
      <c r="F28" s="252">
        <f>25933709.3248816/1000</f>
        <v>25933.709324881598</v>
      </c>
    </row>
    <row r="29" spans="2:6" s="9" customFormat="1" ht="15.75">
      <c r="B29" s="25" t="s">
        <v>7</v>
      </c>
      <c r="C29" s="29">
        <f>+C16+C19+C20+C22+C23+C25+C26+C27+C28</f>
        <v>1064</v>
      </c>
      <c r="D29" s="29">
        <f>+D16+D19+D20+D22+D23+D25+D26+D27+D28</f>
        <v>914.6563181294999</v>
      </c>
      <c r="E29" s="268">
        <f>+E16+E19+E20+E22+E23+E25+E26+E27+E28</f>
        <v>60355</v>
      </c>
      <c r="F29" s="144">
        <f>+F16+F19+F20+F22+F23+F25+F26+F27+F28</f>
        <v>70889.03613827183</v>
      </c>
    </row>
    <row r="30" spans="2:6" ht="15.75">
      <c r="B30" s="26" t="s">
        <v>182</v>
      </c>
      <c r="C30" s="264">
        <v>109</v>
      </c>
      <c r="D30" s="260">
        <f>7114.0838285/1000</f>
        <v>7.1140838285</v>
      </c>
      <c r="E30" s="264">
        <v>108178</v>
      </c>
      <c r="F30" s="252">
        <f>64924941.5314229/1000</f>
        <v>64924.9415314229</v>
      </c>
    </row>
    <row r="31" spans="2:6" s="9" customFormat="1" ht="15.75">
      <c r="B31" s="25" t="s">
        <v>8</v>
      </c>
      <c r="C31" s="29">
        <f>+C29-C30</f>
        <v>955</v>
      </c>
      <c r="D31" s="29">
        <f>+D29-D30</f>
        <v>907.5422343009999</v>
      </c>
      <c r="E31" s="268">
        <f>+E29-E30</f>
        <v>-47823</v>
      </c>
      <c r="F31" s="144">
        <f>+F29-F30</f>
        <v>5964.094606848928</v>
      </c>
    </row>
    <row r="32" spans="2:6" ht="15.75">
      <c r="B32" s="26" t="s">
        <v>9</v>
      </c>
      <c r="C32" s="263">
        <v>36</v>
      </c>
      <c r="D32" s="260">
        <f>34698.38076/1000</f>
        <v>34.69838076</v>
      </c>
      <c r="E32" s="264">
        <v>23663</v>
      </c>
      <c r="F32" s="260">
        <f>19413406.8230528/1000</f>
        <v>19413.406823052803</v>
      </c>
    </row>
    <row r="33" spans="2:6" ht="15.75">
      <c r="B33" s="26" t="s">
        <v>183</v>
      </c>
      <c r="C33" s="99">
        <v>3</v>
      </c>
      <c r="D33" s="260">
        <f>3375.93804/1000</f>
        <v>3.37593804</v>
      </c>
      <c r="E33" s="264">
        <v>8572</v>
      </c>
      <c r="F33" s="260">
        <f>7656733.01251178/1000</f>
        <v>7656.73301251178</v>
      </c>
    </row>
    <row r="34" spans="2:6" ht="15.75">
      <c r="B34" s="26" t="s">
        <v>10</v>
      </c>
      <c r="C34" s="99">
        <v>44</v>
      </c>
      <c r="D34" s="260">
        <f>46411.15223/1000</f>
        <v>46.41115223</v>
      </c>
      <c r="E34" s="264">
        <v>4755</v>
      </c>
      <c r="F34" s="260">
        <f>4796337.39897727/1000</f>
        <v>4796.33739897727</v>
      </c>
    </row>
    <row r="35" spans="2:10" s="9" customFormat="1" ht="15.75">
      <c r="B35" s="25" t="s">
        <v>185</v>
      </c>
      <c r="C35" s="29">
        <f>+C31-C32-C33-C34</f>
        <v>872</v>
      </c>
      <c r="D35" s="29">
        <f>+D31-D32-D33-D34</f>
        <v>823.0567632709999</v>
      </c>
      <c r="E35" s="268">
        <f>+E31-E32-E33-E34</f>
        <v>-84813</v>
      </c>
      <c r="F35" s="144">
        <f>+F31-F32-F33-F34</f>
        <v>-25902.382627692925</v>
      </c>
      <c r="H35" s="222">
        <v>0</v>
      </c>
      <c r="I35" s="222">
        <v>38837933</v>
      </c>
      <c r="J35" s="221" t="s">
        <v>324</v>
      </c>
    </row>
    <row r="36" spans="2:11" ht="15.75">
      <c r="B36" s="26" t="s">
        <v>11</v>
      </c>
      <c r="C36" s="99">
        <v>193</v>
      </c>
      <c r="D36" s="102">
        <v>144</v>
      </c>
      <c r="E36" s="264">
        <v>0</v>
      </c>
      <c r="F36" s="252">
        <v>0</v>
      </c>
      <c r="H36" s="117">
        <v>72497085</v>
      </c>
      <c r="I36" s="117">
        <v>66963692</v>
      </c>
      <c r="J36" s="1" t="s">
        <v>325</v>
      </c>
      <c r="K36" s="117"/>
    </row>
    <row r="37" spans="2:10" ht="15.75">
      <c r="B37" s="26" t="s">
        <v>184</v>
      </c>
      <c r="C37" s="99">
        <v>15</v>
      </c>
      <c r="D37" s="252">
        <v>0</v>
      </c>
      <c r="E37" s="264">
        <v>0</v>
      </c>
      <c r="F37" s="252">
        <v>0</v>
      </c>
      <c r="H37" s="117">
        <v>9707232</v>
      </c>
      <c r="I37" s="117">
        <v>8887538</v>
      </c>
      <c r="J37" s="1" t="s">
        <v>326</v>
      </c>
    </row>
    <row r="38" spans="2:9" s="9" customFormat="1" ht="15.75">
      <c r="B38" s="25" t="s">
        <v>186</v>
      </c>
      <c r="C38" s="29">
        <f>+C35-C36-C37</f>
        <v>664</v>
      </c>
      <c r="D38" s="29">
        <f>+D35-D36-D37</f>
        <v>679.0567632709999</v>
      </c>
      <c r="E38" s="268">
        <f>+E35-E36-E37</f>
        <v>-84813</v>
      </c>
      <c r="F38" s="144">
        <f>+F35-F36-F37</f>
        <v>-25902.382627692925</v>
      </c>
      <c r="H38" s="220"/>
      <c r="I38" s="220">
        <f>SUM(H35:I37)</f>
        <v>196893480</v>
      </c>
    </row>
    <row r="39" spans="2:6" ht="15.75">
      <c r="B39" s="26" t="s">
        <v>195</v>
      </c>
      <c r="C39" s="28">
        <v>0</v>
      </c>
      <c r="D39" s="252">
        <v>0</v>
      </c>
      <c r="E39" s="269">
        <v>0</v>
      </c>
      <c r="F39" s="253">
        <v>0</v>
      </c>
    </row>
    <row r="40" spans="2:6" s="9" customFormat="1" ht="15.75">
      <c r="B40" s="25" t="s">
        <v>12</v>
      </c>
      <c r="C40" s="29">
        <f>+C38+C39</f>
        <v>664</v>
      </c>
      <c r="D40" s="29">
        <f>+D38+D39</f>
        <v>679.0567632709999</v>
      </c>
      <c r="E40" s="268">
        <f>+E38+E39</f>
        <v>-84813</v>
      </c>
      <c r="F40" s="144">
        <f>+F38+F39</f>
        <v>-25902.382627692925</v>
      </c>
    </row>
    <row r="41" spans="2:6" ht="15.75">
      <c r="B41" s="26" t="s">
        <v>187</v>
      </c>
      <c r="C41" s="28">
        <v>199</v>
      </c>
      <c r="D41" s="99">
        <f>165091.257/1000</f>
        <v>165.091257</v>
      </c>
      <c r="E41" s="264">
        <v>1899</v>
      </c>
      <c r="F41" s="252">
        <f>-8373978.94332545/1000</f>
        <v>-8373.97894332545</v>
      </c>
    </row>
    <row r="42" spans="2:6" s="9" customFormat="1" ht="15.75">
      <c r="B42" s="25" t="s">
        <v>13</v>
      </c>
      <c r="C42" s="29">
        <f>+C40-C41</f>
        <v>465</v>
      </c>
      <c r="D42" s="29">
        <f>+D40-D41</f>
        <v>513.9655062709999</v>
      </c>
      <c r="E42" s="268">
        <f>+E40-E41</f>
        <v>-86712</v>
      </c>
      <c r="F42" s="144">
        <f>+F40-F41</f>
        <v>-17528.403684367477</v>
      </c>
    </row>
    <row r="43" spans="2:6" s="9" customFormat="1" ht="15.75">
      <c r="B43" s="25" t="s">
        <v>14</v>
      </c>
      <c r="C43" s="29"/>
      <c r="D43" s="126"/>
      <c r="E43" s="268"/>
      <c r="F43" s="126"/>
    </row>
    <row r="44" spans="2:6" ht="15.75">
      <c r="B44" s="26" t="s">
        <v>117</v>
      </c>
      <c r="C44" s="28">
        <f>+C42</f>
        <v>465</v>
      </c>
      <c r="D44" s="260">
        <v>514</v>
      </c>
      <c r="E44" s="264">
        <f>+E42</f>
        <v>-86712</v>
      </c>
      <c r="F44" s="99">
        <f>+F42</f>
        <v>-17528.403684367477</v>
      </c>
    </row>
    <row r="45" spans="2:6" ht="15.75">
      <c r="B45" s="26" t="s">
        <v>188</v>
      </c>
      <c r="C45" s="28"/>
      <c r="D45" s="252"/>
      <c r="E45" s="264"/>
      <c r="F45" s="252"/>
    </row>
    <row r="46" spans="2:6" s="9" customFormat="1" ht="15.75">
      <c r="B46" s="25" t="s">
        <v>116</v>
      </c>
      <c r="C46" s="29"/>
      <c r="D46" s="126"/>
      <c r="E46" s="268"/>
      <c r="F46" s="126"/>
    </row>
    <row r="47" spans="2:6" ht="15.75">
      <c r="B47" s="26" t="s">
        <v>15</v>
      </c>
      <c r="C47" s="28"/>
      <c r="D47" s="252"/>
      <c r="E47" s="270"/>
      <c r="F47" s="254"/>
    </row>
    <row r="48" spans="2:6" ht="15.75">
      <c r="B48" s="26" t="s">
        <v>119</v>
      </c>
      <c r="C48" s="28"/>
      <c r="D48" s="252"/>
      <c r="E48" s="270"/>
      <c r="F48" s="254"/>
    </row>
  </sheetData>
  <sheetProtection/>
  <mergeCells count="6">
    <mergeCell ref="C5:D5"/>
    <mergeCell ref="E5:F5"/>
    <mergeCell ref="B1:F1"/>
    <mergeCell ref="B2:F2"/>
    <mergeCell ref="B4:F4"/>
    <mergeCell ref="B3:F3"/>
  </mergeCells>
  <printOptions/>
  <pageMargins left="0.590551181102362" right="0.433070866141732" top="0.748031496062992" bottom="0.748031496062992" header="0.354330708661417" footer="0.31496062992126"/>
  <pageSetup fitToHeight="4"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0">
      <selection activeCell="I37" sqref="I37"/>
    </sheetView>
  </sheetViews>
  <sheetFormatPr defaultColWidth="9.140625" defaultRowHeight="15"/>
  <cols>
    <col min="1" max="1" width="59.28125" style="1" customWidth="1"/>
    <col min="2" max="3" width="12.00390625" style="8" customWidth="1"/>
    <col min="4" max="5" width="12.7109375" style="155" bestFit="1" customWidth="1"/>
    <col min="6" max="16384" width="9.140625" style="1" customWidth="1"/>
  </cols>
  <sheetData>
    <row r="1" spans="1:5" ht="15.75">
      <c r="A1" s="291" t="s">
        <v>21</v>
      </c>
      <c r="B1" s="292"/>
      <c r="C1" s="292"/>
      <c r="D1" s="292"/>
      <c r="E1" s="293"/>
    </row>
    <row r="2" spans="1:5" ht="15.75">
      <c r="A2" s="294" t="s">
        <v>22</v>
      </c>
      <c r="B2" s="295"/>
      <c r="C2" s="295"/>
      <c r="D2" s="295"/>
      <c r="E2" s="296"/>
    </row>
    <row r="3" spans="1:5" ht="15.75">
      <c r="A3" s="300" t="s">
        <v>361</v>
      </c>
      <c r="B3" s="301"/>
      <c r="C3" s="301"/>
      <c r="D3" s="301"/>
      <c r="E3" s="302"/>
    </row>
    <row r="4" spans="1:5" ht="15.75">
      <c r="A4" s="49"/>
      <c r="B4" s="47"/>
      <c r="C4" s="47"/>
      <c r="D4" s="157"/>
      <c r="E4" s="226"/>
    </row>
    <row r="5" spans="1:5" ht="15.75">
      <c r="A5" s="44"/>
      <c r="B5" s="303" t="s">
        <v>16</v>
      </c>
      <c r="C5" s="304"/>
      <c r="D5" s="305" t="s">
        <v>25</v>
      </c>
      <c r="E5" s="306"/>
    </row>
    <row r="6" spans="1:5" ht="31.5">
      <c r="A6" s="45" t="s">
        <v>189</v>
      </c>
      <c r="B6" s="88" t="s">
        <v>118</v>
      </c>
      <c r="C6" s="214" t="s">
        <v>160</v>
      </c>
      <c r="D6" s="213" t="s">
        <v>118</v>
      </c>
      <c r="E6" s="214" t="s">
        <v>160</v>
      </c>
    </row>
    <row r="7" spans="1:5" ht="15.75">
      <c r="A7" s="45"/>
      <c r="B7" s="89" t="s">
        <v>18</v>
      </c>
      <c r="C7" s="251" t="s">
        <v>18</v>
      </c>
      <c r="D7" s="217" t="s">
        <v>18</v>
      </c>
      <c r="E7" s="251" t="s">
        <v>18</v>
      </c>
    </row>
    <row r="8" spans="1:5" ht="15.75">
      <c r="A8" s="43"/>
      <c r="B8" s="89" t="s">
        <v>354</v>
      </c>
      <c r="C8" s="251" t="s">
        <v>171</v>
      </c>
      <c r="D8" s="217" t="s">
        <v>354</v>
      </c>
      <c r="E8" s="251" t="s">
        <v>171</v>
      </c>
    </row>
    <row r="9" spans="1:5" ht="15.75">
      <c r="A9" s="43"/>
      <c r="B9" s="89" t="s">
        <v>19</v>
      </c>
      <c r="C9" s="251" t="s">
        <v>19</v>
      </c>
      <c r="D9" s="217" t="s">
        <v>19</v>
      </c>
      <c r="E9" s="251" t="s">
        <v>19</v>
      </c>
    </row>
    <row r="10" spans="1:5" ht="15.75">
      <c r="A10" s="43"/>
      <c r="B10" s="62" t="s">
        <v>362</v>
      </c>
      <c r="C10" s="134" t="s">
        <v>363</v>
      </c>
      <c r="D10" s="62" t="s">
        <v>362</v>
      </c>
      <c r="E10" s="134" t="s">
        <v>363</v>
      </c>
    </row>
    <row r="11" spans="1:5" ht="15.75">
      <c r="A11" s="46"/>
      <c r="B11" s="90" t="s">
        <v>99</v>
      </c>
      <c r="C11" s="218" t="s">
        <v>99</v>
      </c>
      <c r="D11" s="218" t="s">
        <v>100</v>
      </c>
      <c r="E11" s="218" t="s">
        <v>100</v>
      </c>
    </row>
    <row r="12" spans="1:5" s="9" customFormat="1" ht="15.75">
      <c r="A12" s="25" t="s">
        <v>23</v>
      </c>
      <c r="B12" s="29">
        <f>+'INCOME-I'!C42</f>
        <v>465</v>
      </c>
      <c r="C12" s="144">
        <f>+'INCOME-I'!D42</f>
        <v>513.9655062709999</v>
      </c>
      <c r="D12" s="144">
        <f>+'INCOME-I'!E42</f>
        <v>-86712</v>
      </c>
      <c r="E12" s="144">
        <f>+'INCOME-I'!F42</f>
        <v>-17528.403684367477</v>
      </c>
    </row>
    <row r="13" spans="1:5" ht="15.75">
      <c r="A13" s="26"/>
      <c r="B13" s="28"/>
      <c r="C13" s="99"/>
      <c r="D13" s="99"/>
      <c r="E13" s="99"/>
    </row>
    <row r="14" spans="1:5" s="9" customFormat="1" ht="15.75">
      <c r="A14" s="25" t="s">
        <v>190</v>
      </c>
      <c r="B14" s="29"/>
      <c r="C14" s="144"/>
      <c r="D14" s="144"/>
      <c r="E14" s="144"/>
    </row>
    <row r="15" spans="1:5" s="9" customFormat="1" ht="15.75">
      <c r="A15" s="26" t="s">
        <v>191</v>
      </c>
      <c r="B15" s="28">
        <v>0</v>
      </c>
      <c r="C15" s="99">
        <v>0</v>
      </c>
      <c r="D15" s="99">
        <v>0</v>
      </c>
      <c r="E15" s="99">
        <v>0</v>
      </c>
    </row>
    <row r="16" spans="1:5" s="9" customFormat="1" ht="15.75">
      <c r="A16" s="26" t="s">
        <v>192</v>
      </c>
      <c r="B16" s="28">
        <v>0</v>
      </c>
      <c r="C16" s="99">
        <v>0</v>
      </c>
      <c r="D16" s="99">
        <v>0</v>
      </c>
      <c r="E16" s="99">
        <v>0</v>
      </c>
    </row>
    <row r="17" spans="1:5" s="9" customFormat="1" ht="15.75">
      <c r="A17" s="6" t="s">
        <v>193</v>
      </c>
      <c r="B17" s="307">
        <v>0</v>
      </c>
      <c r="C17" s="309">
        <v>0</v>
      </c>
      <c r="D17" s="309">
        <v>0</v>
      </c>
      <c r="E17" s="309">
        <v>0</v>
      </c>
    </row>
    <row r="18" spans="1:8" s="9" customFormat="1" ht="15.75">
      <c r="A18" s="167" t="s">
        <v>194</v>
      </c>
      <c r="B18" s="308"/>
      <c r="C18" s="310"/>
      <c r="D18" s="310"/>
      <c r="E18" s="310"/>
      <c r="H18" s="166"/>
    </row>
    <row r="19" spans="1:5" ht="15.75">
      <c r="A19" s="26" t="s">
        <v>195</v>
      </c>
      <c r="B19" s="28">
        <v>0</v>
      </c>
      <c r="C19" s="99">
        <v>0</v>
      </c>
      <c r="D19" s="99">
        <v>0</v>
      </c>
      <c r="E19" s="99">
        <v>0</v>
      </c>
    </row>
    <row r="20" spans="1:5" ht="15.75">
      <c r="A20" s="26" t="s">
        <v>196</v>
      </c>
      <c r="B20" s="28">
        <v>0</v>
      </c>
      <c r="C20" s="99">
        <v>0</v>
      </c>
      <c r="D20" s="99">
        <v>0</v>
      </c>
      <c r="E20" s="99">
        <v>0</v>
      </c>
    </row>
    <row r="21" spans="1:5" ht="15.75">
      <c r="A21" s="26" t="s">
        <v>197</v>
      </c>
      <c r="B21" s="28">
        <v>0</v>
      </c>
      <c r="C21" s="99">
        <v>0</v>
      </c>
      <c r="D21" s="99">
        <v>0</v>
      </c>
      <c r="E21" s="99">
        <v>0</v>
      </c>
    </row>
    <row r="22" spans="1:5" ht="15.75">
      <c r="A22" s="6" t="s">
        <v>198</v>
      </c>
      <c r="B22" s="307">
        <v>0</v>
      </c>
      <c r="C22" s="309">
        <v>0</v>
      </c>
      <c r="D22" s="309">
        <v>0</v>
      </c>
      <c r="E22" s="309">
        <v>0</v>
      </c>
    </row>
    <row r="23" spans="1:8" ht="15.75">
      <c r="A23" s="167" t="s">
        <v>199</v>
      </c>
      <c r="B23" s="308"/>
      <c r="C23" s="310"/>
      <c r="D23" s="310"/>
      <c r="E23" s="310"/>
      <c r="H23" s="60"/>
    </row>
    <row r="24" spans="1:8" ht="15.75">
      <c r="A24" s="167"/>
      <c r="B24" s="168"/>
      <c r="C24" s="170"/>
      <c r="D24" s="170"/>
      <c r="E24" s="170"/>
      <c r="H24" s="60"/>
    </row>
    <row r="25" spans="1:8" ht="15.75">
      <c r="A25" s="25" t="s">
        <v>200</v>
      </c>
      <c r="B25" s="168"/>
      <c r="C25" s="170"/>
      <c r="D25" s="170"/>
      <c r="E25" s="170"/>
      <c r="H25" s="60"/>
    </row>
    <row r="26" spans="1:8" ht="15.75">
      <c r="A26" s="171" t="s">
        <v>201</v>
      </c>
      <c r="B26" s="307">
        <v>0</v>
      </c>
      <c r="C26" s="309">
        <v>0</v>
      </c>
      <c r="D26" s="309">
        <v>0</v>
      </c>
      <c r="E26" s="309">
        <v>0</v>
      </c>
      <c r="H26" s="60"/>
    </row>
    <row r="27" spans="1:8" ht="15.75">
      <c r="A27" s="167" t="s">
        <v>202</v>
      </c>
      <c r="B27" s="308"/>
      <c r="C27" s="310"/>
      <c r="D27" s="310"/>
      <c r="E27" s="310"/>
      <c r="G27" s="60"/>
      <c r="H27" s="60"/>
    </row>
    <row r="28" spans="1:8" ht="15.75">
      <c r="A28" s="171" t="s">
        <v>203</v>
      </c>
      <c r="B28" s="307">
        <v>0</v>
      </c>
      <c r="C28" s="309">
        <v>0</v>
      </c>
      <c r="D28" s="309">
        <v>0</v>
      </c>
      <c r="E28" s="309">
        <v>0</v>
      </c>
      <c r="H28" s="60"/>
    </row>
    <row r="29" spans="1:8" ht="15.75">
      <c r="A29" s="171" t="s">
        <v>204</v>
      </c>
      <c r="B29" s="311"/>
      <c r="C29" s="312"/>
      <c r="D29" s="312"/>
      <c r="E29" s="312"/>
      <c r="H29" s="60"/>
    </row>
    <row r="30" spans="1:8" ht="15.75">
      <c r="A30" s="167" t="s">
        <v>30</v>
      </c>
      <c r="B30" s="308"/>
      <c r="C30" s="310"/>
      <c r="D30" s="310"/>
      <c r="E30" s="310"/>
      <c r="H30" s="60"/>
    </row>
    <row r="31" spans="1:8" ht="15.75">
      <c r="A31" s="167" t="s">
        <v>205</v>
      </c>
      <c r="B31" s="168">
        <v>0</v>
      </c>
      <c r="C31" s="170">
        <v>0</v>
      </c>
      <c r="D31" s="170">
        <v>0</v>
      </c>
      <c r="E31" s="170">
        <v>0</v>
      </c>
      <c r="H31" s="60"/>
    </row>
    <row r="32" spans="1:8" ht="15.75">
      <c r="A32" s="167" t="s">
        <v>24</v>
      </c>
      <c r="B32" s="168">
        <v>0</v>
      </c>
      <c r="C32" s="170">
        <v>0</v>
      </c>
      <c r="D32" s="170">
        <v>0</v>
      </c>
      <c r="E32" s="170">
        <v>0</v>
      </c>
      <c r="H32" s="60"/>
    </row>
    <row r="33" spans="1:8" ht="15.75">
      <c r="A33" s="167" t="s">
        <v>195</v>
      </c>
      <c r="B33" s="168">
        <v>0</v>
      </c>
      <c r="C33" s="170">
        <v>0</v>
      </c>
      <c r="D33" s="170">
        <v>0</v>
      </c>
      <c r="E33" s="170">
        <v>0</v>
      </c>
      <c r="H33" s="60"/>
    </row>
    <row r="34" spans="1:8" ht="15.75">
      <c r="A34" s="167" t="s">
        <v>317</v>
      </c>
      <c r="B34" s="168">
        <v>78</v>
      </c>
      <c r="C34" s="170">
        <f>315885.086685/1000</f>
        <v>315.885086685</v>
      </c>
      <c r="D34" s="170"/>
      <c r="E34" s="170"/>
      <c r="H34" s="60"/>
    </row>
    <row r="35" spans="1:8" ht="15.75">
      <c r="A35" s="6" t="s">
        <v>207</v>
      </c>
      <c r="B35" s="307">
        <v>0</v>
      </c>
      <c r="C35" s="309">
        <v>0</v>
      </c>
      <c r="D35" s="309">
        <v>0</v>
      </c>
      <c r="E35" s="309">
        <v>0</v>
      </c>
      <c r="F35" s="172"/>
      <c r="H35" s="60"/>
    </row>
    <row r="36" spans="1:8" ht="15.75">
      <c r="A36" s="167" t="s">
        <v>206</v>
      </c>
      <c r="B36" s="308"/>
      <c r="C36" s="310"/>
      <c r="D36" s="310"/>
      <c r="E36" s="310"/>
      <c r="H36" s="60"/>
    </row>
    <row r="37" spans="1:5" s="9" customFormat="1" ht="15.75">
      <c r="A37" s="25" t="s">
        <v>208</v>
      </c>
      <c r="B37" s="29">
        <f>SUM(B19:B36)</f>
        <v>78</v>
      </c>
      <c r="C37" s="144">
        <f>SUM(C19:C36)</f>
        <v>315.885086685</v>
      </c>
      <c r="D37" s="144">
        <f>+D20</f>
        <v>0</v>
      </c>
      <c r="E37" s="144">
        <f>+E20</f>
        <v>0</v>
      </c>
    </row>
    <row r="38" spans="1:5" s="9" customFormat="1" ht="15.75">
      <c r="A38" s="25"/>
      <c r="B38" s="29"/>
      <c r="C38" s="144"/>
      <c r="D38" s="144"/>
      <c r="E38" s="144"/>
    </row>
    <row r="39" spans="1:5" ht="15.75">
      <c r="A39" s="25" t="s">
        <v>359</v>
      </c>
      <c r="B39" s="29">
        <f>+B37+B12</f>
        <v>543</v>
      </c>
      <c r="C39" s="144">
        <f>+C37+C12</f>
        <v>829.8505929559999</v>
      </c>
      <c r="D39" s="144">
        <f>+D37+D12</f>
        <v>-86712</v>
      </c>
      <c r="E39" s="144">
        <f>+E37+E12</f>
        <v>-17528.403684367477</v>
      </c>
    </row>
    <row r="40" spans="1:5" ht="15.75">
      <c r="A40" s="26" t="s">
        <v>209</v>
      </c>
      <c r="B40" s="28">
        <f>+B39</f>
        <v>543</v>
      </c>
      <c r="C40" s="99">
        <f>+C39</f>
        <v>829.8505929559999</v>
      </c>
      <c r="D40" s="99">
        <f>+D39</f>
        <v>-86712</v>
      </c>
      <c r="E40" s="99">
        <f>+E39</f>
        <v>-17528.403684367477</v>
      </c>
    </row>
    <row r="41" spans="1:5" ht="15.75">
      <c r="A41" s="26" t="s">
        <v>188</v>
      </c>
      <c r="B41" s="99">
        <v>0</v>
      </c>
      <c r="C41" s="99">
        <v>0</v>
      </c>
      <c r="D41" s="99">
        <v>0</v>
      </c>
      <c r="E41" s="99">
        <v>0</v>
      </c>
    </row>
  </sheetData>
  <sheetProtection/>
  <mergeCells count="25">
    <mergeCell ref="B35:B36"/>
    <mergeCell ref="C35:C36"/>
    <mergeCell ref="D35:D36"/>
    <mergeCell ref="E35:E36"/>
    <mergeCell ref="B26:B27"/>
    <mergeCell ref="C26:C27"/>
    <mergeCell ref="D26:D27"/>
    <mergeCell ref="E26:E27"/>
    <mergeCell ref="B28:B30"/>
    <mergeCell ref="C28:C30"/>
    <mergeCell ref="D28:D30"/>
    <mergeCell ref="E28:E30"/>
    <mergeCell ref="B17:B18"/>
    <mergeCell ref="C17:C18"/>
    <mergeCell ref="D17:D18"/>
    <mergeCell ref="E17:E18"/>
    <mergeCell ref="B22:B23"/>
    <mergeCell ref="C22:C23"/>
    <mergeCell ref="D22:D23"/>
    <mergeCell ref="E22:E23"/>
    <mergeCell ref="B5:C5"/>
    <mergeCell ref="D5:E5"/>
    <mergeCell ref="A1:E1"/>
    <mergeCell ref="A2:E2"/>
    <mergeCell ref="A3:E3"/>
  </mergeCells>
  <printOptions/>
  <pageMargins left="0.44" right="0.17" top="0.7480314960629921" bottom="0.7480314960629921" header="0.31496062992125984" footer="0.31496062992125984"/>
  <pageSetup fitToHeight="5"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I79"/>
  <sheetViews>
    <sheetView zoomScalePageLayoutView="0" workbookViewId="0" topLeftCell="A1">
      <selection activeCell="B65" sqref="B65"/>
    </sheetView>
  </sheetViews>
  <sheetFormatPr defaultColWidth="9.140625" defaultRowHeight="15"/>
  <cols>
    <col min="1" max="1" width="48.8515625" style="1" customWidth="1"/>
    <col min="2" max="2" width="11.28125" style="13" customWidth="1"/>
    <col min="3" max="3" width="12.7109375" style="8" customWidth="1"/>
    <col min="4" max="4" width="11.57421875" style="159" bestFit="1" customWidth="1"/>
    <col min="5" max="5" width="11.57421875" style="13" bestFit="1" customWidth="1"/>
    <col min="6" max="6" width="14.28125" style="11" bestFit="1" customWidth="1"/>
    <col min="7" max="7" width="9.57421875" style="1" bestFit="1" customWidth="1"/>
    <col min="8" max="8" width="13.7109375" style="1" bestFit="1" customWidth="1"/>
    <col min="9" max="16384" width="9.140625" style="1" customWidth="1"/>
  </cols>
  <sheetData>
    <row r="1" spans="1:5" ht="15.75">
      <c r="A1" s="291" t="s">
        <v>21</v>
      </c>
      <c r="B1" s="292"/>
      <c r="C1" s="292"/>
      <c r="D1" s="292"/>
      <c r="E1" s="293"/>
    </row>
    <row r="2" spans="1:5" ht="15.75">
      <c r="A2" s="294" t="s">
        <v>112</v>
      </c>
      <c r="B2" s="295"/>
      <c r="C2" s="295"/>
      <c r="D2" s="295"/>
      <c r="E2" s="296"/>
    </row>
    <row r="3" spans="1:5" ht="15.75">
      <c r="A3" s="294" t="s">
        <v>364</v>
      </c>
      <c r="B3" s="295"/>
      <c r="C3" s="295"/>
      <c r="D3" s="295"/>
      <c r="E3" s="296"/>
    </row>
    <row r="4" spans="1:5" ht="15.75">
      <c r="A4" s="297"/>
      <c r="B4" s="298"/>
      <c r="C4" s="298"/>
      <c r="D4" s="298"/>
      <c r="E4" s="299"/>
    </row>
    <row r="5" spans="1:5" ht="15.75">
      <c r="A5" s="44"/>
      <c r="B5" s="313" t="s">
        <v>16</v>
      </c>
      <c r="C5" s="314"/>
      <c r="D5" s="315" t="s">
        <v>25</v>
      </c>
      <c r="E5" s="316"/>
    </row>
    <row r="6" spans="1:5" ht="15.75">
      <c r="A6" s="45" t="s">
        <v>189</v>
      </c>
      <c r="B6" s="88" t="s">
        <v>318</v>
      </c>
      <c r="C6" s="88" t="s">
        <v>320</v>
      </c>
      <c r="D6" s="213" t="s">
        <v>321</v>
      </c>
      <c r="E6" s="214" t="s">
        <v>320</v>
      </c>
    </row>
    <row r="7" spans="1:5" ht="15.75">
      <c r="A7" s="45"/>
      <c r="B7" s="204" t="s">
        <v>319</v>
      </c>
      <c r="C7" s="204" t="s">
        <v>319</v>
      </c>
      <c r="D7" s="215" t="s">
        <v>319</v>
      </c>
      <c r="E7" s="216" t="s">
        <v>319</v>
      </c>
    </row>
    <row r="8" spans="1:5" ht="15.75">
      <c r="A8" s="45"/>
      <c r="B8" s="91" t="s">
        <v>98</v>
      </c>
      <c r="C8" s="89" t="s">
        <v>98</v>
      </c>
      <c r="D8" s="224" t="s">
        <v>98</v>
      </c>
      <c r="E8" s="224" t="s">
        <v>98</v>
      </c>
    </row>
    <row r="9" spans="1:5" ht="15.75">
      <c r="A9" s="43"/>
      <c r="B9" s="91" t="s">
        <v>362</v>
      </c>
      <c r="C9" s="91" t="s">
        <v>316</v>
      </c>
      <c r="D9" s="224" t="str">
        <f>+B9</f>
        <v>31.12.2019</v>
      </c>
      <c r="E9" s="224" t="str">
        <f>+C9</f>
        <v>31.03.2019</v>
      </c>
    </row>
    <row r="10" spans="1:5" ht="15.75">
      <c r="A10" s="46"/>
      <c r="B10" s="92" t="s">
        <v>99</v>
      </c>
      <c r="C10" s="250" t="s">
        <v>99</v>
      </c>
      <c r="D10" s="219" t="s">
        <v>100</v>
      </c>
      <c r="E10" s="219" t="s">
        <v>100</v>
      </c>
    </row>
    <row r="11" spans="1:5" ht="15.75">
      <c r="A11" s="46"/>
      <c r="B11" s="92"/>
      <c r="C11" s="250" t="s">
        <v>126</v>
      </c>
      <c r="D11" s="271"/>
      <c r="E11" s="219" t="s">
        <v>126</v>
      </c>
    </row>
    <row r="12" spans="1:5" ht="15.75">
      <c r="A12" s="25" t="s">
        <v>26</v>
      </c>
      <c r="B12" s="27"/>
      <c r="C12" s="99"/>
      <c r="D12" s="272"/>
      <c r="E12" s="225"/>
    </row>
    <row r="13" spans="1:5" ht="15.75">
      <c r="A13" s="26" t="s">
        <v>120</v>
      </c>
      <c r="B13" s="265">
        <v>6003</v>
      </c>
      <c r="C13" s="99">
        <f>8175029488/1000000</f>
        <v>8175.029488</v>
      </c>
      <c r="D13" s="264">
        <v>99588</v>
      </c>
      <c r="E13" s="99">
        <v>104464</v>
      </c>
    </row>
    <row r="14" spans="1:5" ht="15.75">
      <c r="A14" s="26" t="s">
        <v>27</v>
      </c>
      <c r="B14" s="99">
        <v>43</v>
      </c>
      <c r="C14" s="99">
        <f>157150506/1000000</f>
        <v>157.150506</v>
      </c>
      <c r="D14" s="264">
        <v>1305</v>
      </c>
      <c r="E14" s="99">
        <v>152</v>
      </c>
    </row>
    <row r="15" spans="1:5" ht="15.75">
      <c r="A15" s="26" t="s">
        <v>28</v>
      </c>
      <c r="B15" s="99">
        <v>0</v>
      </c>
      <c r="C15" s="99">
        <v>0</v>
      </c>
      <c r="D15" s="264">
        <v>131920</v>
      </c>
      <c r="E15" s="99">
        <v>204451</v>
      </c>
    </row>
    <row r="16" spans="1:5" ht="15.75">
      <c r="A16" s="26" t="s">
        <v>29</v>
      </c>
      <c r="B16" s="99">
        <v>0</v>
      </c>
      <c r="C16" s="99">
        <v>0</v>
      </c>
      <c r="D16" s="264">
        <v>0</v>
      </c>
      <c r="E16" s="99">
        <v>0</v>
      </c>
    </row>
    <row r="17" spans="1:5" ht="15.75">
      <c r="A17" s="26" t="s">
        <v>210</v>
      </c>
      <c r="B17" s="99"/>
      <c r="C17" s="99"/>
      <c r="D17" s="264"/>
      <c r="E17" s="99"/>
    </row>
    <row r="18" spans="1:5" ht="15.75">
      <c r="A18" s="26" t="s">
        <v>211</v>
      </c>
      <c r="B18" s="99">
        <v>0</v>
      </c>
      <c r="C18" s="99">
        <v>0</v>
      </c>
      <c r="D18" s="264">
        <v>0</v>
      </c>
      <c r="E18" s="99">
        <v>0</v>
      </c>
    </row>
    <row r="19" spans="1:5" ht="15.75">
      <c r="A19" s="26" t="s">
        <v>212</v>
      </c>
      <c r="B19" s="99">
        <v>0</v>
      </c>
      <c r="C19" s="99">
        <v>0</v>
      </c>
      <c r="D19" s="264">
        <v>0</v>
      </c>
      <c r="E19" s="99">
        <v>0</v>
      </c>
    </row>
    <row r="20" spans="1:5" ht="15.75">
      <c r="A20" s="26" t="s">
        <v>213</v>
      </c>
      <c r="B20" s="99"/>
      <c r="C20" s="99"/>
      <c r="D20" s="264"/>
      <c r="E20" s="99"/>
    </row>
    <row r="21" spans="1:5" ht="15.75">
      <c r="A21" s="26" t="s">
        <v>214</v>
      </c>
      <c r="B21" s="264">
        <v>6115</v>
      </c>
      <c r="C21" s="99">
        <f>7993868140/1000000</f>
        <v>7993.86814</v>
      </c>
      <c r="D21" s="264">
        <v>1217510</v>
      </c>
      <c r="E21" s="99">
        <v>1325976</v>
      </c>
    </row>
    <row r="22" spans="1:5" ht="15.75">
      <c r="A22" s="26" t="s">
        <v>215</v>
      </c>
      <c r="B22" s="265">
        <v>32138</v>
      </c>
      <c r="C22" s="99">
        <f>15308791897/1000000</f>
        <v>15308.791897</v>
      </c>
      <c r="D22" s="264">
        <v>569139</v>
      </c>
      <c r="E22" s="99">
        <v>487191</v>
      </c>
    </row>
    <row r="23" spans="1:5" ht="15.75">
      <c r="A23" s="6" t="s">
        <v>216</v>
      </c>
      <c r="B23" s="309">
        <v>2</v>
      </c>
      <c r="C23" s="309">
        <f>2040001/1000000</f>
        <v>2.040001</v>
      </c>
      <c r="D23" s="317">
        <v>204600</v>
      </c>
      <c r="E23" s="309">
        <v>181980</v>
      </c>
    </row>
    <row r="24" spans="1:5" ht="15.75">
      <c r="A24" s="167" t="s">
        <v>217</v>
      </c>
      <c r="B24" s="310"/>
      <c r="C24" s="310"/>
      <c r="D24" s="318"/>
      <c r="E24" s="310"/>
    </row>
    <row r="25" spans="1:5" ht="15.75">
      <c r="A25" s="26" t="s">
        <v>31</v>
      </c>
      <c r="B25" s="28">
        <v>0</v>
      </c>
      <c r="C25" s="28">
        <v>0</v>
      </c>
      <c r="D25" s="264">
        <v>0</v>
      </c>
      <c r="E25" s="99">
        <v>0</v>
      </c>
    </row>
    <row r="26" spans="1:5" ht="15.75">
      <c r="A26" s="26" t="s">
        <v>32</v>
      </c>
      <c r="B26" s="28">
        <v>0</v>
      </c>
      <c r="C26" s="28">
        <v>0</v>
      </c>
      <c r="D26" s="264">
        <v>0</v>
      </c>
      <c r="E26" s="99">
        <v>0</v>
      </c>
    </row>
    <row r="27" spans="1:5" ht="15.75">
      <c r="A27" s="26" t="s">
        <v>121</v>
      </c>
      <c r="B27" s="28">
        <v>214</v>
      </c>
      <c r="C27" s="28">
        <f>217095076/1000000</f>
        <v>217.095076</v>
      </c>
      <c r="D27" s="264">
        <v>32037</v>
      </c>
      <c r="E27" s="99">
        <v>33369</v>
      </c>
    </row>
    <row r="28" spans="1:5" ht="15.75">
      <c r="A28" s="26" t="s">
        <v>33</v>
      </c>
      <c r="B28" s="28">
        <v>0</v>
      </c>
      <c r="C28" s="28">
        <v>0</v>
      </c>
      <c r="D28" s="264">
        <v>0</v>
      </c>
      <c r="E28" s="99">
        <v>0</v>
      </c>
    </row>
    <row r="29" spans="1:5" ht="15.75">
      <c r="A29" s="26" t="s">
        <v>322</v>
      </c>
      <c r="B29" s="28">
        <v>0</v>
      </c>
      <c r="C29" s="28">
        <f>3707/1000000</f>
        <v>0.003707</v>
      </c>
      <c r="D29" s="264">
        <v>0</v>
      </c>
      <c r="E29" s="99">
        <v>0</v>
      </c>
    </row>
    <row r="30" spans="1:5" ht="15.75">
      <c r="A30" s="26" t="s">
        <v>173</v>
      </c>
      <c r="B30" s="28">
        <v>0</v>
      </c>
      <c r="C30" s="28">
        <v>0</v>
      </c>
      <c r="D30" s="264">
        <v>62857</v>
      </c>
      <c r="E30" s="99">
        <v>64557</v>
      </c>
    </row>
    <row r="31" spans="1:5" ht="15.75">
      <c r="A31" s="26" t="s">
        <v>34</v>
      </c>
      <c r="B31" s="28">
        <v>497</v>
      </c>
      <c r="C31" s="28">
        <f>36333758/1000000</f>
        <v>36.333758</v>
      </c>
      <c r="D31" s="264">
        <v>120350</v>
      </c>
      <c r="E31" s="99">
        <v>97943</v>
      </c>
    </row>
    <row r="32" spans="1:9" s="9" customFormat="1" ht="15.75">
      <c r="A32" s="25" t="s">
        <v>35</v>
      </c>
      <c r="B32" s="29">
        <f>SUM(B13:B31)</f>
        <v>45012</v>
      </c>
      <c r="C32" s="29">
        <f>SUM(C13:C31)</f>
        <v>31890.312573000003</v>
      </c>
      <c r="D32" s="268">
        <f>SUM(D13:D31)</f>
        <v>2439306</v>
      </c>
      <c r="E32" s="144">
        <f>SUM(E13:E31)</f>
        <v>2500083</v>
      </c>
      <c r="F32" s="108"/>
      <c r="G32" s="95"/>
      <c r="H32" s="95"/>
      <c r="I32" s="95"/>
    </row>
    <row r="33" spans="1:5" ht="15.75">
      <c r="A33" s="25" t="s">
        <v>36</v>
      </c>
      <c r="B33" s="28"/>
      <c r="C33" s="28"/>
      <c r="D33" s="264"/>
      <c r="E33" s="99"/>
    </row>
    <row r="34" spans="1:5" ht="15.75">
      <c r="A34" s="26" t="s">
        <v>37</v>
      </c>
      <c r="B34" s="28">
        <v>28900</v>
      </c>
      <c r="C34" s="28">
        <f>19357350253/1000000</f>
        <v>19357.350253</v>
      </c>
      <c r="D34" s="264">
        <v>2193</v>
      </c>
      <c r="E34" s="99">
        <v>174</v>
      </c>
    </row>
    <row r="35" spans="1:5" ht="15.75">
      <c r="A35" s="26" t="s">
        <v>29</v>
      </c>
      <c r="B35" s="28">
        <v>0</v>
      </c>
      <c r="C35" s="28">
        <v>0</v>
      </c>
      <c r="D35" s="264">
        <v>0</v>
      </c>
      <c r="E35" s="99">
        <v>0</v>
      </c>
    </row>
    <row r="36" spans="1:5" ht="15.75">
      <c r="A36" s="26" t="s">
        <v>223</v>
      </c>
      <c r="B36" s="28"/>
      <c r="C36" s="28"/>
      <c r="D36" s="264"/>
      <c r="E36" s="99"/>
    </row>
    <row r="37" spans="1:5" ht="15.75">
      <c r="A37" s="26" t="s">
        <v>211</v>
      </c>
      <c r="B37" s="28">
        <v>0</v>
      </c>
      <c r="C37" s="28">
        <v>0</v>
      </c>
      <c r="D37" s="264">
        <v>0</v>
      </c>
      <c r="E37" s="99">
        <v>0</v>
      </c>
    </row>
    <row r="38" spans="1:5" ht="15.75">
      <c r="A38" s="26" t="s">
        <v>212</v>
      </c>
      <c r="B38" s="28">
        <v>0</v>
      </c>
      <c r="C38" s="28">
        <v>0</v>
      </c>
      <c r="D38" s="264">
        <v>0</v>
      </c>
      <c r="E38" s="99">
        <v>0</v>
      </c>
    </row>
    <row r="39" spans="1:5" ht="15.75">
      <c r="A39" s="26" t="s">
        <v>218</v>
      </c>
      <c r="B39" s="28"/>
      <c r="C39" s="28"/>
      <c r="D39" s="264"/>
      <c r="E39" s="99"/>
    </row>
    <row r="40" spans="1:5" ht="15.75">
      <c r="A40" s="26" t="s">
        <v>219</v>
      </c>
      <c r="B40" s="264">
        <v>5602</v>
      </c>
      <c r="C40" s="28">
        <f>2785417592/1000000</f>
        <v>2785.417592</v>
      </c>
      <c r="D40" s="264">
        <v>2212406</v>
      </c>
      <c r="E40" s="99">
        <v>2225172</v>
      </c>
    </row>
    <row r="41" spans="1:5" ht="15.75">
      <c r="A41" s="26" t="s">
        <v>220</v>
      </c>
      <c r="B41" s="28">
        <v>0</v>
      </c>
      <c r="C41" s="28">
        <v>0</v>
      </c>
      <c r="D41" s="264">
        <v>0</v>
      </c>
      <c r="E41" s="99">
        <v>0</v>
      </c>
    </row>
    <row r="42" spans="1:5" ht="15.75">
      <c r="A42" s="26" t="s">
        <v>221</v>
      </c>
      <c r="B42" s="28">
        <v>0</v>
      </c>
      <c r="C42" s="28">
        <v>0</v>
      </c>
      <c r="D42" s="264">
        <v>0</v>
      </c>
      <c r="E42" s="99">
        <v>0</v>
      </c>
    </row>
    <row r="43" spans="1:5" ht="15.75">
      <c r="A43" s="26" t="s">
        <v>38</v>
      </c>
      <c r="B43" s="28">
        <v>0</v>
      </c>
      <c r="C43" s="28">
        <v>0</v>
      </c>
      <c r="D43" s="264">
        <v>0</v>
      </c>
      <c r="E43" s="99">
        <v>0</v>
      </c>
    </row>
    <row r="44" spans="1:5" ht="15.75">
      <c r="A44" s="26" t="s">
        <v>222</v>
      </c>
      <c r="B44" s="28">
        <v>12</v>
      </c>
      <c r="C44" s="28">
        <f>13625579/1000000</f>
        <v>13.625579</v>
      </c>
      <c r="D44" s="264">
        <v>40</v>
      </c>
      <c r="E44" s="99">
        <v>36</v>
      </c>
    </row>
    <row r="45" spans="1:5" ht="15.75">
      <c r="A45" s="26" t="s">
        <v>39</v>
      </c>
      <c r="B45" s="265">
        <v>80</v>
      </c>
      <c r="C45" s="28">
        <f>94388192/1000000</f>
        <v>94.388192</v>
      </c>
      <c r="D45" s="264">
        <v>0</v>
      </c>
      <c r="E45" s="99">
        <v>0</v>
      </c>
    </row>
    <row r="46" spans="1:5" ht="15.75">
      <c r="A46" s="26" t="s">
        <v>124</v>
      </c>
      <c r="B46" s="265">
        <v>22</v>
      </c>
      <c r="C46" s="28">
        <f>21458518/1000000</f>
        <v>21.458518</v>
      </c>
      <c r="D46" s="264">
        <v>8</v>
      </c>
      <c r="E46" s="99">
        <v>8</v>
      </c>
    </row>
    <row r="47" spans="1:5" ht="15.75">
      <c r="A47" s="26" t="s">
        <v>40</v>
      </c>
      <c r="B47" s="276">
        <v>334</v>
      </c>
      <c r="C47" s="154">
        <f>152528982/1000000</f>
        <v>152.528982</v>
      </c>
      <c r="D47" s="264">
        <f>0/1000</f>
        <v>0</v>
      </c>
      <c r="E47" s="99">
        <f>0/1000</f>
        <v>0</v>
      </c>
    </row>
    <row r="48" spans="1:5" ht="15.75">
      <c r="A48" s="26" t="s">
        <v>41</v>
      </c>
      <c r="B48" s="154">
        <v>0</v>
      </c>
      <c r="C48" s="154">
        <v>0</v>
      </c>
      <c r="D48" s="264">
        <v>107999</v>
      </c>
      <c r="E48" s="99">
        <v>111094</v>
      </c>
    </row>
    <row r="49" spans="1:5" ht="15.75">
      <c r="A49" s="26" t="s">
        <v>42</v>
      </c>
      <c r="B49" s="28">
        <v>0</v>
      </c>
      <c r="C49" s="28">
        <v>0</v>
      </c>
      <c r="D49" s="264">
        <v>0</v>
      </c>
      <c r="E49" s="99">
        <v>0</v>
      </c>
    </row>
    <row r="50" spans="1:6" s="9" customFormat="1" ht="15.75">
      <c r="A50" s="25" t="s">
        <v>43</v>
      </c>
      <c r="B50" s="29">
        <f>SUM(B34:B49)</f>
        <v>34950</v>
      </c>
      <c r="C50" s="29">
        <v>22424</v>
      </c>
      <c r="D50" s="268">
        <f>SUM(D34:D49)</f>
        <v>2322646</v>
      </c>
      <c r="E50" s="144">
        <f>SUM(E34:E49)</f>
        <v>2336484</v>
      </c>
      <c r="F50" s="95"/>
    </row>
    <row r="51" spans="1:5" ht="15.75">
      <c r="A51" s="25" t="s">
        <v>44</v>
      </c>
      <c r="B51" s="28"/>
      <c r="C51" s="28"/>
      <c r="D51" s="264"/>
      <c r="E51" s="99"/>
    </row>
    <row r="52" spans="1:5" ht="15.75">
      <c r="A52" s="26" t="s">
        <v>45</v>
      </c>
      <c r="B52" s="28">
        <v>2288</v>
      </c>
      <c r="C52" s="28">
        <f>2288494500/1000000</f>
        <v>2288.4945</v>
      </c>
      <c r="D52" s="264">
        <v>125854</v>
      </c>
      <c r="E52" s="99">
        <v>91416</v>
      </c>
    </row>
    <row r="53" spans="1:5" ht="15.75">
      <c r="A53" s="26" t="s">
        <v>46</v>
      </c>
      <c r="B53" s="28">
        <v>341</v>
      </c>
      <c r="C53" s="28">
        <f>341353965/1000000+1</f>
        <v>342.353965</v>
      </c>
      <c r="D53" s="264">
        <v>29268</v>
      </c>
      <c r="E53" s="99">
        <v>29268</v>
      </c>
    </row>
    <row r="54" spans="1:5" ht="15.75">
      <c r="A54" s="26" t="s">
        <v>224</v>
      </c>
      <c r="B54" s="288">
        <f>+'[1]CHANGES IN EQUITY'!F29</f>
        <v>412.3232333529999</v>
      </c>
      <c r="C54" s="28">
        <f>334400371/1000000+1</f>
        <v>335.400371</v>
      </c>
      <c r="D54" s="264">
        <v>0</v>
      </c>
      <c r="E54" s="99">
        <v>0</v>
      </c>
    </row>
    <row r="55" spans="1:5" ht="15.75">
      <c r="A55" s="26" t="s">
        <v>47</v>
      </c>
      <c r="B55" s="288">
        <f>+'[1]CHANGES IN EQUITY'!H29</f>
        <v>6619.057206455005</v>
      </c>
      <c r="C55" s="28">
        <f>6099293199/1000000</f>
        <v>6099.293199</v>
      </c>
      <c r="D55" s="264">
        <v>0</v>
      </c>
      <c r="E55" s="99">
        <v>0</v>
      </c>
    </row>
    <row r="56" spans="1:5" ht="15.75">
      <c r="A56" s="26" t="s">
        <v>48</v>
      </c>
      <c r="B56" s="28">
        <v>402</v>
      </c>
      <c r="C56" s="28">
        <f>(344423683+57577737)/1000000</f>
        <v>402.00142</v>
      </c>
      <c r="D56" s="264">
        <v>-38462</v>
      </c>
      <c r="E56" s="99">
        <v>42915</v>
      </c>
    </row>
    <row r="57" spans="1:6" s="132" customFormat="1" ht="15.75">
      <c r="A57" s="25" t="s">
        <v>49</v>
      </c>
      <c r="B57" s="29">
        <f>SUM(B52:B56)</f>
        <v>10062.380439808005</v>
      </c>
      <c r="C57" s="29">
        <v>9466</v>
      </c>
      <c r="D57" s="268">
        <f>SUM(D52:D56)</f>
        <v>116660</v>
      </c>
      <c r="E57" s="144">
        <f>SUM(E52:E56)</f>
        <v>163599</v>
      </c>
      <c r="F57" s="131"/>
    </row>
    <row r="58" spans="1:5" ht="15.75">
      <c r="A58" s="26" t="s">
        <v>188</v>
      </c>
      <c r="B58" s="28">
        <v>0</v>
      </c>
      <c r="C58" s="28">
        <v>0</v>
      </c>
      <c r="D58" s="264">
        <v>0</v>
      </c>
      <c r="E58" s="99">
        <v>0</v>
      </c>
    </row>
    <row r="59" spans="1:6" s="9" customFormat="1" ht="15.75">
      <c r="A59" s="25" t="s">
        <v>50</v>
      </c>
      <c r="B59" s="29">
        <f>+B58+B57</f>
        <v>10062.380439808005</v>
      </c>
      <c r="C59" s="29">
        <f>+C58+C57</f>
        <v>9466</v>
      </c>
      <c r="D59" s="268">
        <f>+D58+D57</f>
        <v>116660</v>
      </c>
      <c r="E59" s="144">
        <f>+E58+E57</f>
        <v>163599</v>
      </c>
      <c r="F59" s="95"/>
    </row>
    <row r="60" spans="1:6" s="9" customFormat="1" ht="15.75">
      <c r="A60" s="25" t="s">
        <v>51</v>
      </c>
      <c r="B60" s="29">
        <f>+B59+B50</f>
        <v>45012.380439808</v>
      </c>
      <c r="C60" s="29">
        <f>+C59+C50</f>
        <v>31890</v>
      </c>
      <c r="D60" s="268">
        <f>+D59+D50</f>
        <v>2439306</v>
      </c>
      <c r="E60" s="144">
        <f>+E59+E50</f>
        <v>2500083</v>
      </c>
      <c r="F60" s="95"/>
    </row>
    <row r="61" spans="1:5" ht="15.75">
      <c r="A61" s="25" t="s">
        <v>52</v>
      </c>
      <c r="B61" s="99">
        <v>5640</v>
      </c>
      <c r="C61" s="99">
        <f>1815098154/1000000</f>
        <v>1815.098154</v>
      </c>
      <c r="D61" s="264">
        <v>644720</v>
      </c>
      <c r="E61" s="99">
        <v>566487</v>
      </c>
    </row>
    <row r="62" spans="1:5" ht="15.75">
      <c r="A62" s="25" t="s">
        <v>53</v>
      </c>
      <c r="B62" s="99"/>
      <c r="C62" s="99"/>
      <c r="D62" s="264"/>
      <c r="E62" s="99"/>
    </row>
    <row r="63" spans="1:6" ht="15.75">
      <c r="A63" s="26" t="s">
        <v>54</v>
      </c>
      <c r="B63" s="99">
        <v>21</v>
      </c>
      <c r="C63" s="99">
        <v>19</v>
      </c>
      <c r="D63" s="264">
        <v>25175</v>
      </c>
      <c r="E63" s="99">
        <v>26354</v>
      </c>
      <c r="F63" s="117"/>
    </row>
    <row r="64" spans="1:6" ht="15.75">
      <c r="A64" s="26" t="s">
        <v>55</v>
      </c>
      <c r="B64" s="99">
        <v>1</v>
      </c>
      <c r="C64" s="99">
        <v>1</v>
      </c>
      <c r="D64" s="264">
        <v>3274</v>
      </c>
      <c r="E64" s="99">
        <v>3345</v>
      </c>
      <c r="F64" s="117"/>
    </row>
    <row r="65" spans="1:5" ht="15">
      <c r="A65" s="173" t="s">
        <v>225</v>
      </c>
      <c r="B65" s="8"/>
      <c r="D65" s="273"/>
      <c r="E65" s="155"/>
    </row>
    <row r="66" spans="2:5" ht="15.75">
      <c r="B66" s="7"/>
      <c r="D66" s="158"/>
      <c r="E66" s="14"/>
    </row>
    <row r="67" spans="2:5" ht="15.75">
      <c r="B67" s="7"/>
      <c r="D67" s="158"/>
      <c r="E67" s="14"/>
    </row>
    <row r="68" spans="2:5" ht="15.75">
      <c r="B68" s="7"/>
      <c r="D68" s="158"/>
      <c r="E68" s="14"/>
    </row>
    <row r="69" spans="2:5" ht="15.75">
      <c r="B69" s="7"/>
      <c r="D69" s="158"/>
      <c r="E69" s="14"/>
    </row>
    <row r="70" spans="2:5" ht="15">
      <c r="B70" s="14"/>
      <c r="D70" s="158"/>
      <c r="E70" s="14"/>
    </row>
    <row r="71" spans="2:5" ht="15">
      <c r="B71" s="14"/>
      <c r="D71" s="158"/>
      <c r="E71" s="14"/>
    </row>
    <row r="72" spans="2:5" ht="15">
      <c r="B72" s="14"/>
      <c r="D72" s="158"/>
      <c r="E72" s="14"/>
    </row>
    <row r="73" spans="2:5" ht="15">
      <c r="B73" s="14"/>
      <c r="D73" s="158"/>
      <c r="E73" s="14"/>
    </row>
    <row r="74" spans="2:5" ht="15">
      <c r="B74" s="14"/>
      <c r="D74" s="158"/>
      <c r="E74" s="14"/>
    </row>
    <row r="75" spans="2:5" ht="15">
      <c r="B75" s="14"/>
      <c r="D75" s="158"/>
      <c r="E75" s="14"/>
    </row>
    <row r="76" spans="2:5" ht="15">
      <c r="B76" s="14"/>
      <c r="D76" s="158"/>
      <c r="E76" s="14"/>
    </row>
    <row r="77" spans="2:5" ht="15">
      <c r="B77" s="14"/>
      <c r="D77" s="158"/>
      <c r="E77" s="14"/>
    </row>
    <row r="78" spans="2:5" ht="15">
      <c r="B78" s="14"/>
      <c r="D78" s="158"/>
      <c r="E78" s="14"/>
    </row>
    <row r="79" spans="2:5" ht="15">
      <c r="B79" s="14"/>
      <c r="D79" s="158"/>
      <c r="E79" s="14"/>
    </row>
  </sheetData>
  <sheetProtection/>
  <mergeCells count="10">
    <mergeCell ref="B23:B24"/>
    <mergeCell ref="A1:E1"/>
    <mergeCell ref="A2:E2"/>
    <mergeCell ref="A4:E4"/>
    <mergeCell ref="A3:E3"/>
    <mergeCell ref="B5:C5"/>
    <mergeCell ref="D5:E5"/>
    <mergeCell ref="C23:C24"/>
    <mergeCell ref="D23:D24"/>
    <mergeCell ref="E23:E24"/>
  </mergeCells>
  <printOptions/>
  <pageMargins left="0.45" right="0.17" top="0.48" bottom="0.26" header="0.31496062992126" footer="0.17"/>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S64"/>
  <sheetViews>
    <sheetView zoomScalePageLayoutView="0" workbookViewId="0" topLeftCell="A43">
      <selection activeCell="O54" sqref="O54"/>
    </sheetView>
  </sheetViews>
  <sheetFormatPr defaultColWidth="9.140625" defaultRowHeight="15"/>
  <cols>
    <col min="1" max="1" width="45.7109375" style="1" customWidth="1"/>
    <col min="2" max="2" width="9.7109375" style="1" bestFit="1" customWidth="1"/>
    <col min="3" max="3" width="11.8515625" style="1" bestFit="1" customWidth="1"/>
    <col min="4" max="4" width="9.57421875" style="1" bestFit="1" customWidth="1"/>
    <col min="5" max="5" width="13.8515625" style="1" bestFit="1" customWidth="1"/>
    <col min="6" max="6" width="8.140625" style="1" bestFit="1" customWidth="1"/>
    <col min="7" max="7" width="12.7109375" style="1" bestFit="1" customWidth="1"/>
    <col min="8" max="8" width="10.57421875" style="1" bestFit="1" customWidth="1"/>
    <col min="9" max="10" width="9.8515625" style="1" bestFit="1" customWidth="1"/>
    <col min="11" max="11" width="11.7109375" style="1" bestFit="1" customWidth="1"/>
    <col min="12" max="12" width="12.8515625" style="1" bestFit="1" customWidth="1"/>
    <col min="13" max="16384" width="9.140625" style="1" customWidth="1"/>
  </cols>
  <sheetData>
    <row r="1" spans="1:12" ht="15.75">
      <c r="A1" s="291" t="s">
        <v>21</v>
      </c>
      <c r="B1" s="292"/>
      <c r="C1" s="292"/>
      <c r="D1" s="292"/>
      <c r="E1" s="292"/>
      <c r="F1" s="292"/>
      <c r="G1" s="292"/>
      <c r="H1" s="292"/>
      <c r="I1" s="292"/>
      <c r="J1" s="292"/>
      <c r="K1" s="292"/>
      <c r="L1" s="293"/>
    </row>
    <row r="2" spans="1:19" ht="15.75">
      <c r="A2" s="294" t="s">
        <v>56</v>
      </c>
      <c r="B2" s="295"/>
      <c r="C2" s="295"/>
      <c r="D2" s="295"/>
      <c r="E2" s="295"/>
      <c r="F2" s="295"/>
      <c r="G2" s="295"/>
      <c r="H2" s="295"/>
      <c r="I2" s="295"/>
      <c r="J2" s="295"/>
      <c r="K2" s="295"/>
      <c r="L2" s="296"/>
      <c r="M2" s="60"/>
      <c r="N2" s="60"/>
      <c r="O2" s="60"/>
      <c r="P2" s="60"/>
      <c r="Q2" s="60"/>
      <c r="R2" s="60"/>
      <c r="S2" s="60"/>
    </row>
    <row r="3" spans="1:19" ht="15.75">
      <c r="A3" s="294" t="s">
        <v>361</v>
      </c>
      <c r="B3" s="295"/>
      <c r="C3" s="295"/>
      <c r="D3" s="295"/>
      <c r="E3" s="295"/>
      <c r="F3" s="295"/>
      <c r="G3" s="295"/>
      <c r="H3" s="295"/>
      <c r="I3" s="295"/>
      <c r="J3" s="295"/>
      <c r="K3" s="295"/>
      <c r="L3" s="296"/>
      <c r="M3" s="60"/>
      <c r="N3" s="60"/>
      <c r="O3" s="60"/>
      <c r="P3" s="60"/>
      <c r="Q3" s="60"/>
      <c r="R3" s="60"/>
      <c r="S3" s="60"/>
    </row>
    <row r="4" spans="1:19" ht="15.75">
      <c r="A4" s="297"/>
      <c r="B4" s="298"/>
      <c r="C4" s="298"/>
      <c r="D4" s="298"/>
      <c r="E4" s="298"/>
      <c r="F4" s="298"/>
      <c r="G4" s="298"/>
      <c r="H4" s="298"/>
      <c r="I4" s="298"/>
      <c r="J4" s="298"/>
      <c r="K4" s="298"/>
      <c r="L4" s="299"/>
      <c r="M4" s="59"/>
      <c r="N4" s="59"/>
      <c r="O4" s="59"/>
      <c r="P4" s="59"/>
      <c r="Q4" s="59"/>
      <c r="R4" s="59"/>
      <c r="S4" s="59"/>
    </row>
    <row r="5" spans="1:12" ht="37.5" customHeight="1">
      <c r="A5" s="148" t="s">
        <v>16</v>
      </c>
      <c r="B5" s="146"/>
      <c r="C5" s="146"/>
      <c r="D5" s="146"/>
      <c r="E5" s="146"/>
      <c r="F5" s="146"/>
      <c r="G5" s="146"/>
      <c r="H5" s="146"/>
      <c r="I5" s="146"/>
      <c r="J5" s="146"/>
      <c r="K5" s="146"/>
      <c r="L5" s="147"/>
    </row>
    <row r="6" spans="1:12" ht="15.75">
      <c r="A6" s="53"/>
      <c r="B6" s="330" t="s">
        <v>340</v>
      </c>
      <c r="C6" s="331"/>
      <c r="D6" s="332"/>
      <c r="E6" s="330" t="s">
        <v>75</v>
      </c>
      <c r="F6" s="331"/>
      <c r="G6" s="331"/>
      <c r="H6" s="331"/>
      <c r="I6" s="332"/>
      <c r="J6" s="61"/>
      <c r="K6" s="65"/>
      <c r="L6" s="61"/>
    </row>
    <row r="7" spans="1:12" ht="47.25">
      <c r="A7" s="54" t="s">
        <v>226</v>
      </c>
      <c r="B7" s="61" t="s">
        <v>69</v>
      </c>
      <c r="C7" s="61" t="s">
        <v>69</v>
      </c>
      <c r="D7" s="61" t="s">
        <v>73</v>
      </c>
      <c r="E7" s="325" t="s">
        <v>232</v>
      </c>
      <c r="F7" s="66" t="s">
        <v>233</v>
      </c>
      <c r="G7" s="62" t="s">
        <v>76</v>
      </c>
      <c r="H7" s="62" t="s">
        <v>78</v>
      </c>
      <c r="I7" s="62" t="s">
        <v>80</v>
      </c>
      <c r="J7" s="62" t="s">
        <v>82</v>
      </c>
      <c r="K7" s="66" t="s">
        <v>122</v>
      </c>
      <c r="L7" s="62" t="s">
        <v>50</v>
      </c>
    </row>
    <row r="8" spans="1:12" ht="31.5">
      <c r="A8" s="55"/>
      <c r="B8" s="62" t="s">
        <v>70</v>
      </c>
      <c r="C8" s="62" t="s">
        <v>72</v>
      </c>
      <c r="D8" s="62" t="s">
        <v>74</v>
      </c>
      <c r="E8" s="325"/>
      <c r="F8" s="66" t="s">
        <v>77</v>
      </c>
      <c r="G8" s="62" t="s">
        <v>77</v>
      </c>
      <c r="H8" s="62" t="s">
        <v>79</v>
      </c>
      <c r="I8" s="62" t="s">
        <v>81</v>
      </c>
      <c r="J8" s="62"/>
      <c r="K8" s="62" t="s">
        <v>83</v>
      </c>
      <c r="L8" s="62"/>
    </row>
    <row r="9" spans="1:12" ht="15.75">
      <c r="A9" s="32"/>
      <c r="B9" s="63" t="s">
        <v>71</v>
      </c>
      <c r="C9" s="63" t="s">
        <v>71</v>
      </c>
      <c r="D9" s="63"/>
      <c r="E9" s="326"/>
      <c r="F9" s="176"/>
      <c r="G9" s="63"/>
      <c r="H9" s="63"/>
      <c r="I9" s="63"/>
      <c r="J9" s="63"/>
      <c r="K9" s="63"/>
      <c r="L9" s="63"/>
    </row>
    <row r="10" spans="1:12" ht="15.75">
      <c r="A10" s="25" t="s">
        <v>355</v>
      </c>
      <c r="B10" s="127">
        <v>0</v>
      </c>
      <c r="C10" s="127">
        <v>0</v>
      </c>
      <c r="D10" s="127">
        <v>2288</v>
      </c>
      <c r="E10" s="128">
        <v>341</v>
      </c>
      <c r="F10" s="128">
        <v>334</v>
      </c>
      <c r="G10" s="127">
        <v>57.577737</v>
      </c>
      <c r="H10" s="127">
        <v>6155</v>
      </c>
      <c r="I10" s="127">
        <v>344</v>
      </c>
      <c r="J10" s="127">
        <v>9520</v>
      </c>
      <c r="K10" s="127">
        <v>0</v>
      </c>
      <c r="L10" s="127">
        <f>SUM(J10:K10)</f>
        <v>9520</v>
      </c>
    </row>
    <row r="11" spans="1:12" ht="15.75">
      <c r="A11" s="50" t="s">
        <v>57</v>
      </c>
      <c r="B11" s="52"/>
      <c r="C11" s="52"/>
      <c r="D11" s="52"/>
      <c r="E11" s="57"/>
      <c r="F11" s="57"/>
      <c r="G11" s="52"/>
      <c r="H11" s="52"/>
      <c r="I11" s="52"/>
      <c r="J11" s="127"/>
      <c r="K11" s="52"/>
      <c r="L11" s="127"/>
    </row>
    <row r="12" spans="1:12" ht="15.75">
      <c r="A12" s="51" t="s">
        <v>229</v>
      </c>
      <c r="B12" s="52">
        <v>0</v>
      </c>
      <c r="C12" s="52">
        <v>0</v>
      </c>
      <c r="D12" s="52">
        <v>0</v>
      </c>
      <c r="E12" s="57">
        <v>0</v>
      </c>
      <c r="F12" s="57">
        <v>0</v>
      </c>
      <c r="G12" s="52">
        <v>0</v>
      </c>
      <c r="H12" s="52">
        <f>+'INCOME-I'!C42</f>
        <v>465</v>
      </c>
      <c r="I12" s="52">
        <v>0</v>
      </c>
      <c r="J12" s="127">
        <f>SUM(B12:I12)</f>
        <v>465</v>
      </c>
      <c r="K12" s="52">
        <v>0</v>
      </c>
      <c r="L12" s="127">
        <f>SUM(J12:K12)</f>
        <v>465</v>
      </c>
    </row>
    <row r="13" spans="1:12" ht="15.75">
      <c r="A13" s="51" t="s">
        <v>58</v>
      </c>
      <c r="B13" s="52">
        <v>0</v>
      </c>
      <c r="C13" s="52">
        <v>0</v>
      </c>
      <c r="D13" s="52">
        <v>0</v>
      </c>
      <c r="E13" s="57">
        <v>0</v>
      </c>
      <c r="F13" s="57">
        <f>+'INCOME-II'!B34</f>
        <v>78</v>
      </c>
      <c r="G13" s="52">
        <v>0</v>
      </c>
      <c r="H13" s="52">
        <v>0</v>
      </c>
      <c r="I13" s="52">
        <v>0</v>
      </c>
      <c r="J13" s="127">
        <f>SUM(B13:I13)</f>
        <v>78</v>
      </c>
      <c r="K13" s="52">
        <v>0</v>
      </c>
      <c r="L13" s="127">
        <f>SUM(J13:K13)</f>
        <v>78</v>
      </c>
    </row>
    <row r="14" spans="1:12" ht="15.75">
      <c r="A14" s="25" t="s">
        <v>57</v>
      </c>
      <c r="B14" s="29">
        <f>+B10+B12+B13</f>
        <v>0</v>
      </c>
      <c r="C14" s="29">
        <f>+C10+C12+C13</f>
        <v>0</v>
      </c>
      <c r="D14" s="29">
        <f>+D10+D12+D13</f>
        <v>2288</v>
      </c>
      <c r="E14" s="29">
        <f>+E10+E12+E13</f>
        <v>341</v>
      </c>
      <c r="F14" s="29">
        <f>+F10+F12+F13</f>
        <v>412</v>
      </c>
      <c r="G14" s="29">
        <f>+G10+G12+G13</f>
        <v>57.577737</v>
      </c>
      <c r="H14" s="29">
        <f>+H10+H12+H13</f>
        <v>6620</v>
      </c>
      <c r="I14" s="29">
        <f>+I10+I12+I13</f>
        <v>344</v>
      </c>
      <c r="J14" s="127">
        <f>SUM(B14:I14)</f>
        <v>10062.577737</v>
      </c>
      <c r="K14" s="29">
        <f>+K10+K12+K13</f>
        <v>0</v>
      </c>
      <c r="L14" s="127">
        <f>SUM(J14:K14)</f>
        <v>10062.577737</v>
      </c>
    </row>
    <row r="15" spans="1:12" ht="15.75">
      <c r="A15" s="5"/>
      <c r="B15" s="28"/>
      <c r="C15" s="28"/>
      <c r="D15" s="28"/>
      <c r="E15" s="28"/>
      <c r="F15" s="28"/>
      <c r="G15" s="28"/>
      <c r="H15" s="28"/>
      <c r="I15" s="28"/>
      <c r="J15" s="29"/>
      <c r="K15" s="28"/>
      <c r="L15" s="29"/>
    </row>
    <row r="16" spans="1:12" ht="15.75">
      <c r="A16" s="174" t="s">
        <v>227</v>
      </c>
      <c r="B16" s="169"/>
      <c r="C16" s="169"/>
      <c r="D16" s="169"/>
      <c r="E16" s="175"/>
      <c r="F16" s="175"/>
      <c r="G16" s="169"/>
      <c r="H16" s="169"/>
      <c r="I16" s="169"/>
      <c r="J16" s="165"/>
      <c r="K16" s="169"/>
      <c r="L16" s="165"/>
    </row>
    <row r="17" spans="1:12" ht="15.75">
      <c r="A17" s="163" t="s">
        <v>228</v>
      </c>
      <c r="B17" s="168"/>
      <c r="C17" s="168"/>
      <c r="D17" s="168"/>
      <c r="E17" s="168"/>
      <c r="F17" s="168"/>
      <c r="G17" s="168"/>
      <c r="H17" s="168"/>
      <c r="I17" s="168"/>
      <c r="J17" s="164"/>
      <c r="K17" s="168"/>
      <c r="L17" s="164"/>
    </row>
    <row r="18" spans="1:12" ht="15.75">
      <c r="A18" s="26" t="s">
        <v>59</v>
      </c>
      <c r="B18" s="28">
        <v>0</v>
      </c>
      <c r="C18" s="28">
        <v>0</v>
      </c>
      <c r="D18" s="28">
        <v>0</v>
      </c>
      <c r="E18" s="58">
        <v>0</v>
      </c>
      <c r="F18" s="58">
        <v>0</v>
      </c>
      <c r="G18" s="28">
        <v>0</v>
      </c>
      <c r="H18" s="28">
        <v>0</v>
      </c>
      <c r="I18" s="28">
        <v>0</v>
      </c>
      <c r="J18" s="127">
        <f aca="true" t="shared" si="0" ref="J18:J27">SUM(B18:I18)</f>
        <v>0</v>
      </c>
      <c r="K18" s="28">
        <v>0</v>
      </c>
      <c r="L18" s="127">
        <f aca="true" t="shared" si="1" ref="L18:L24">SUM(J18:K18)</f>
        <v>0</v>
      </c>
    </row>
    <row r="19" spans="1:12" ht="15.75">
      <c r="A19" s="26" t="s">
        <v>60</v>
      </c>
      <c r="B19" s="28">
        <v>0</v>
      </c>
      <c r="C19" s="28">
        <v>0</v>
      </c>
      <c r="D19" s="28">
        <v>0</v>
      </c>
      <c r="E19" s="58">
        <v>0</v>
      </c>
      <c r="F19" s="58">
        <v>0</v>
      </c>
      <c r="G19" s="28">
        <v>0</v>
      </c>
      <c r="H19" s="28">
        <v>0</v>
      </c>
      <c r="I19" s="28">
        <v>0</v>
      </c>
      <c r="J19" s="127">
        <f t="shared" si="0"/>
        <v>0</v>
      </c>
      <c r="K19" s="28">
        <v>0</v>
      </c>
      <c r="L19" s="127">
        <f t="shared" si="1"/>
        <v>0</v>
      </c>
    </row>
    <row r="20" spans="1:12" ht="15.75">
      <c r="A20" s="26" t="s">
        <v>61</v>
      </c>
      <c r="B20" s="28">
        <v>0</v>
      </c>
      <c r="C20" s="28">
        <v>0</v>
      </c>
      <c r="D20" s="28">
        <v>0</v>
      </c>
      <c r="E20" s="58">
        <v>0</v>
      </c>
      <c r="F20" s="58">
        <v>0</v>
      </c>
      <c r="G20" s="28">
        <v>0</v>
      </c>
      <c r="H20" s="28">
        <v>0</v>
      </c>
      <c r="I20" s="28">
        <v>0</v>
      </c>
      <c r="J20" s="127">
        <f t="shared" si="0"/>
        <v>0</v>
      </c>
      <c r="K20" s="28">
        <v>0</v>
      </c>
      <c r="L20" s="127">
        <f t="shared" si="1"/>
        <v>0</v>
      </c>
    </row>
    <row r="21" spans="1:12" ht="15.75">
      <c r="A21" s="26" t="s">
        <v>62</v>
      </c>
      <c r="B21" s="28">
        <v>0</v>
      </c>
      <c r="C21" s="28">
        <v>0</v>
      </c>
      <c r="D21" s="28">
        <v>0</v>
      </c>
      <c r="E21" s="58">
        <v>0</v>
      </c>
      <c r="F21" s="58">
        <v>0</v>
      </c>
      <c r="G21" s="28">
        <v>0</v>
      </c>
      <c r="H21" s="28">
        <v>0</v>
      </c>
      <c r="I21" s="28">
        <v>0</v>
      </c>
      <c r="J21" s="127">
        <f t="shared" si="0"/>
        <v>0</v>
      </c>
      <c r="K21" s="28">
        <v>0</v>
      </c>
      <c r="L21" s="127">
        <f t="shared" si="1"/>
        <v>0</v>
      </c>
    </row>
    <row r="22" spans="1:12" ht="15.75">
      <c r="A22" s="26" t="s">
        <v>230</v>
      </c>
      <c r="B22" s="28">
        <v>0</v>
      </c>
      <c r="C22" s="28">
        <v>0</v>
      </c>
      <c r="D22" s="28">
        <v>0</v>
      </c>
      <c r="E22" s="58">
        <v>0</v>
      </c>
      <c r="F22" s="58">
        <v>0</v>
      </c>
      <c r="G22" s="28">
        <v>0</v>
      </c>
      <c r="H22" s="28">
        <f>-E22</f>
        <v>0</v>
      </c>
      <c r="I22" s="28">
        <v>0</v>
      </c>
      <c r="J22" s="127">
        <f t="shared" si="0"/>
        <v>0</v>
      </c>
      <c r="K22" s="28"/>
      <c r="L22" s="127">
        <f t="shared" si="1"/>
        <v>0</v>
      </c>
    </row>
    <row r="23" spans="1:12" ht="15.75">
      <c r="A23" s="26" t="s">
        <v>63</v>
      </c>
      <c r="B23" s="28">
        <v>0</v>
      </c>
      <c r="C23" s="28">
        <v>0</v>
      </c>
      <c r="D23" s="28">
        <v>0</v>
      </c>
      <c r="E23" s="58">
        <v>0</v>
      </c>
      <c r="F23" s="58">
        <v>0</v>
      </c>
      <c r="G23" s="28">
        <v>0</v>
      </c>
      <c r="H23" s="28">
        <v>0</v>
      </c>
      <c r="I23" s="28">
        <v>0</v>
      </c>
      <c r="J23" s="127">
        <f t="shared" si="0"/>
        <v>0</v>
      </c>
      <c r="K23" s="28">
        <v>0</v>
      </c>
      <c r="L23" s="127">
        <f t="shared" si="1"/>
        <v>0</v>
      </c>
    </row>
    <row r="24" spans="1:12" ht="15.75">
      <c r="A24" s="26" t="s">
        <v>64</v>
      </c>
      <c r="B24" s="28">
        <v>0</v>
      </c>
      <c r="C24" s="28">
        <v>0</v>
      </c>
      <c r="D24" s="28">
        <v>0</v>
      </c>
      <c r="E24" s="58">
        <v>0</v>
      </c>
      <c r="F24" s="58">
        <v>0</v>
      </c>
      <c r="G24" s="28">
        <v>0</v>
      </c>
      <c r="H24" s="28">
        <v>0</v>
      </c>
      <c r="I24" s="28">
        <v>0</v>
      </c>
      <c r="J24" s="127">
        <f t="shared" si="0"/>
        <v>0</v>
      </c>
      <c r="K24" s="28">
        <v>0</v>
      </c>
      <c r="L24" s="127">
        <f t="shared" si="1"/>
        <v>0</v>
      </c>
    </row>
    <row r="25" spans="1:12" ht="15.75">
      <c r="A25" s="6" t="s">
        <v>65</v>
      </c>
      <c r="B25" s="321">
        <v>0</v>
      </c>
      <c r="C25" s="321">
        <v>0</v>
      </c>
      <c r="D25" s="321">
        <v>0</v>
      </c>
      <c r="E25" s="321">
        <v>0</v>
      </c>
      <c r="F25" s="321">
        <v>0</v>
      </c>
      <c r="G25" s="307">
        <v>0</v>
      </c>
      <c r="H25" s="321">
        <v>0</v>
      </c>
      <c r="I25" s="321">
        <v>0</v>
      </c>
      <c r="J25" s="323">
        <f t="shared" si="0"/>
        <v>0</v>
      </c>
      <c r="K25" s="307">
        <v>0</v>
      </c>
      <c r="L25" s="323">
        <f>SUM(J25:K25)</f>
        <v>0</v>
      </c>
    </row>
    <row r="26" spans="1:12" ht="15.75">
      <c r="A26" s="167" t="s">
        <v>66</v>
      </c>
      <c r="B26" s="322"/>
      <c r="C26" s="322"/>
      <c r="D26" s="322"/>
      <c r="E26" s="322"/>
      <c r="F26" s="322"/>
      <c r="G26" s="308"/>
      <c r="H26" s="322"/>
      <c r="I26" s="322"/>
      <c r="J26" s="324"/>
      <c r="K26" s="308"/>
      <c r="L26" s="324"/>
    </row>
    <row r="27" spans="1:12" ht="15.75">
      <c r="A27" s="6" t="s">
        <v>67</v>
      </c>
      <c r="B27" s="28">
        <v>0</v>
      </c>
      <c r="C27" s="28">
        <v>0</v>
      </c>
      <c r="D27" s="28">
        <v>0</v>
      </c>
      <c r="E27" s="58">
        <v>0</v>
      </c>
      <c r="F27" s="58">
        <v>0</v>
      </c>
      <c r="G27" s="28">
        <v>0</v>
      </c>
      <c r="H27" s="28">
        <v>0</v>
      </c>
      <c r="I27" s="28">
        <v>0</v>
      </c>
      <c r="J27" s="127">
        <f t="shared" si="0"/>
        <v>0</v>
      </c>
      <c r="K27" s="28">
        <v>0</v>
      </c>
      <c r="L27" s="127">
        <f>SUM(J27:K27)</f>
        <v>0</v>
      </c>
    </row>
    <row r="28" spans="1:12" ht="15.75">
      <c r="A28" s="25" t="s">
        <v>68</v>
      </c>
      <c r="B28" s="29">
        <f>SUM(B18:B27)</f>
        <v>0</v>
      </c>
      <c r="C28" s="29">
        <f aca="true" t="shared" si="2" ref="C28:H28">SUM(C18:C27)</f>
        <v>0</v>
      </c>
      <c r="D28" s="29">
        <f t="shared" si="2"/>
        <v>0</v>
      </c>
      <c r="E28" s="29">
        <f t="shared" si="2"/>
        <v>0</v>
      </c>
      <c r="F28" s="29">
        <f t="shared" si="2"/>
        <v>0</v>
      </c>
      <c r="G28" s="29">
        <f t="shared" si="2"/>
        <v>0</v>
      </c>
      <c r="H28" s="29">
        <f t="shared" si="2"/>
        <v>0</v>
      </c>
      <c r="I28" s="29">
        <f>SUM(I18:I27)</f>
        <v>0</v>
      </c>
      <c r="J28" s="127">
        <f>SUM(B28:I28)</f>
        <v>0</v>
      </c>
      <c r="K28" s="28">
        <v>0</v>
      </c>
      <c r="L28" s="127">
        <f>SUM(J28:K28)</f>
        <v>0</v>
      </c>
    </row>
    <row r="29" spans="1:12" ht="15.75">
      <c r="A29" s="25" t="s">
        <v>365</v>
      </c>
      <c r="B29" s="29">
        <f>+B14+B28</f>
        <v>0</v>
      </c>
      <c r="C29" s="29">
        <f aca="true" t="shared" si="3" ref="C29:H29">+C14+C28</f>
        <v>0</v>
      </c>
      <c r="D29" s="29">
        <f t="shared" si="3"/>
        <v>2288</v>
      </c>
      <c r="E29" s="29">
        <f t="shared" si="3"/>
        <v>341</v>
      </c>
      <c r="F29" s="29">
        <f t="shared" si="3"/>
        <v>412</v>
      </c>
      <c r="G29" s="29">
        <f t="shared" si="3"/>
        <v>57.577737</v>
      </c>
      <c r="H29" s="29">
        <f t="shared" si="3"/>
        <v>6620</v>
      </c>
      <c r="I29" s="29">
        <f>+I14+I28</f>
        <v>344</v>
      </c>
      <c r="J29" s="127">
        <f>SUM(B29:I29)</f>
        <v>10062.577737</v>
      </c>
      <c r="K29" s="29">
        <f>+K14+K28</f>
        <v>0</v>
      </c>
      <c r="L29" s="29">
        <f>+L14+L28</f>
        <v>10062.577737</v>
      </c>
    </row>
    <row r="30" spans="1:12" s="67" customFormat="1" ht="15.75">
      <c r="A30" s="54"/>
      <c r="B30" s="81"/>
      <c r="C30" s="81"/>
      <c r="D30" s="81"/>
      <c r="E30" s="81"/>
      <c r="F30" s="81"/>
      <c r="G30" s="81"/>
      <c r="H30" s="81"/>
      <c r="I30" s="81"/>
      <c r="J30" s="81"/>
      <c r="K30" s="81"/>
      <c r="L30" s="81"/>
    </row>
    <row r="31" spans="1:12" s="67" customFormat="1" ht="15.75">
      <c r="A31" s="54"/>
      <c r="B31" s="81"/>
      <c r="C31" s="81"/>
      <c r="D31" s="81"/>
      <c r="E31" s="81"/>
      <c r="F31" s="81"/>
      <c r="G31" s="81"/>
      <c r="H31" s="81"/>
      <c r="I31" s="81"/>
      <c r="J31" s="81"/>
      <c r="K31" s="81"/>
      <c r="L31" s="81"/>
    </row>
    <row r="32" spans="2:12" s="67" customFormat="1" ht="15">
      <c r="B32" s="68"/>
      <c r="C32" s="68"/>
      <c r="D32" s="68"/>
      <c r="E32" s="68"/>
      <c r="F32" s="68"/>
      <c r="G32" s="68"/>
      <c r="H32" s="68"/>
      <c r="I32" s="68"/>
      <c r="J32" s="68"/>
      <c r="K32" s="68"/>
      <c r="L32" s="68"/>
    </row>
    <row r="33" spans="1:12" ht="15.75">
      <c r="A33" s="333" t="s">
        <v>101</v>
      </c>
      <c r="B33" s="149"/>
      <c r="C33" s="149"/>
      <c r="D33" s="149"/>
      <c r="E33" s="149"/>
      <c r="F33" s="149"/>
      <c r="G33" s="149"/>
      <c r="H33" s="149"/>
      <c r="I33" s="149"/>
      <c r="J33" s="149"/>
      <c r="K33" s="149"/>
      <c r="L33" s="150"/>
    </row>
    <row r="34" spans="1:12" ht="22.5" customHeight="1">
      <c r="A34" s="334"/>
      <c r="B34" s="151"/>
      <c r="C34" s="151"/>
      <c r="D34" s="151"/>
      <c r="E34" s="151"/>
      <c r="F34" s="151"/>
      <c r="G34" s="151"/>
      <c r="H34" s="151"/>
      <c r="I34" s="151"/>
      <c r="J34" s="151"/>
      <c r="K34" s="151"/>
      <c r="L34" s="152"/>
    </row>
    <row r="35" spans="1:12" ht="15.75">
      <c r="A35" s="53"/>
      <c r="B35" s="327" t="s">
        <v>340</v>
      </c>
      <c r="C35" s="328"/>
      <c r="D35" s="329"/>
      <c r="E35" s="327" t="s">
        <v>75</v>
      </c>
      <c r="F35" s="328"/>
      <c r="G35" s="328"/>
      <c r="H35" s="329"/>
      <c r="I35" s="64"/>
      <c r="J35" s="61"/>
      <c r="K35" s="65"/>
      <c r="L35" s="61"/>
    </row>
    <row r="36" spans="1:12" ht="31.5">
      <c r="A36" s="130" t="s">
        <v>231</v>
      </c>
      <c r="B36" s="61" t="s">
        <v>69</v>
      </c>
      <c r="C36" s="61" t="s">
        <v>69</v>
      </c>
      <c r="D36" s="61" t="s">
        <v>73</v>
      </c>
      <c r="E36" s="325" t="s">
        <v>232</v>
      </c>
      <c r="F36" s="66" t="s">
        <v>233</v>
      </c>
      <c r="G36" s="62" t="s">
        <v>76</v>
      </c>
      <c r="H36" s="62" t="s">
        <v>78</v>
      </c>
      <c r="I36" s="62" t="s">
        <v>80</v>
      </c>
      <c r="J36" s="62" t="s">
        <v>82</v>
      </c>
      <c r="K36" s="66" t="s">
        <v>122</v>
      </c>
      <c r="L36" s="62" t="s">
        <v>50</v>
      </c>
    </row>
    <row r="37" spans="1:12" ht="15.75" customHeight="1">
      <c r="A37" s="55"/>
      <c r="B37" s="62" t="s">
        <v>70</v>
      </c>
      <c r="C37" s="62" t="s">
        <v>72</v>
      </c>
      <c r="D37" s="62" t="s">
        <v>74</v>
      </c>
      <c r="E37" s="325"/>
      <c r="F37" s="66" t="s">
        <v>77</v>
      </c>
      <c r="G37" s="62" t="s">
        <v>77</v>
      </c>
      <c r="H37" s="62" t="s">
        <v>79</v>
      </c>
      <c r="I37" s="62" t="s">
        <v>81</v>
      </c>
      <c r="J37" s="62"/>
      <c r="K37" s="62" t="s">
        <v>83</v>
      </c>
      <c r="L37" s="62"/>
    </row>
    <row r="38" spans="1:12" ht="15.75">
      <c r="A38" s="32"/>
      <c r="B38" s="63" t="s">
        <v>71</v>
      </c>
      <c r="C38" s="63" t="s">
        <v>71</v>
      </c>
      <c r="D38" s="63"/>
      <c r="E38" s="326"/>
      <c r="F38" s="176"/>
      <c r="G38" s="63"/>
      <c r="H38" s="63"/>
      <c r="I38" s="63"/>
      <c r="J38" s="63"/>
      <c r="K38" s="63"/>
      <c r="L38" s="63"/>
    </row>
    <row r="39" spans="1:12" s="9" customFormat="1" ht="15.75">
      <c r="A39" s="25" t="s">
        <v>355</v>
      </c>
      <c r="B39" s="113">
        <v>91416.48199999999</v>
      </c>
      <c r="C39" s="113">
        <v>0</v>
      </c>
      <c r="D39" s="113">
        <v>0</v>
      </c>
      <c r="E39" s="113">
        <v>29267.762000000002</v>
      </c>
      <c r="F39" s="113">
        <v>0</v>
      </c>
      <c r="G39" s="113">
        <v>24849.936</v>
      </c>
      <c r="H39" s="113">
        <v>-102757.205874</v>
      </c>
      <c r="I39" s="113">
        <v>120821.834</v>
      </c>
      <c r="J39" s="113">
        <f>SUM(B39:I39)</f>
        <v>163598.808126</v>
      </c>
      <c r="K39" s="113">
        <v>0</v>
      </c>
      <c r="L39" s="113">
        <f>SUM(J39:K39)</f>
        <v>163598.808126</v>
      </c>
    </row>
    <row r="40" spans="1:12" s="9" customFormat="1" ht="15.75">
      <c r="A40" s="50" t="s">
        <v>57</v>
      </c>
      <c r="B40" s="113"/>
      <c r="C40" s="113"/>
      <c r="D40" s="113"/>
      <c r="E40" s="113"/>
      <c r="F40" s="113"/>
      <c r="G40" s="113"/>
      <c r="H40" s="113"/>
      <c r="I40" s="113"/>
      <c r="J40" s="113"/>
      <c r="K40" s="113"/>
      <c r="L40" s="113"/>
    </row>
    <row r="41" spans="1:12" ht="15.75">
      <c r="A41" s="51" t="s">
        <v>229</v>
      </c>
      <c r="B41" s="102">
        <v>0</v>
      </c>
      <c r="C41" s="102">
        <v>0</v>
      </c>
      <c r="D41" s="102">
        <v>0</v>
      </c>
      <c r="E41" s="102">
        <v>0</v>
      </c>
      <c r="F41" s="102">
        <v>0</v>
      </c>
      <c r="G41" s="102">
        <v>0</v>
      </c>
      <c r="H41" s="102">
        <f>-86712011/1000</f>
        <v>-86712.011</v>
      </c>
      <c r="I41" s="102">
        <v>0</v>
      </c>
      <c r="J41" s="113">
        <f>SUM(B41:I41)</f>
        <v>-86712.011</v>
      </c>
      <c r="K41" s="102">
        <v>0</v>
      </c>
      <c r="L41" s="113">
        <f>SUM(J41:K41)</f>
        <v>-86712.011</v>
      </c>
    </row>
    <row r="42" spans="1:12" ht="15.75">
      <c r="A42" s="51" t="s">
        <v>58</v>
      </c>
      <c r="B42" s="102">
        <v>0</v>
      </c>
      <c r="C42" s="102">
        <v>0</v>
      </c>
      <c r="D42" s="102">
        <v>0</v>
      </c>
      <c r="E42" s="102">
        <v>0</v>
      </c>
      <c r="F42" s="102">
        <v>0</v>
      </c>
      <c r="G42" s="102">
        <v>0</v>
      </c>
      <c r="H42" s="102">
        <v>0</v>
      </c>
      <c r="I42" s="102">
        <v>0</v>
      </c>
      <c r="J42" s="113">
        <f>SUM(B42:I42)</f>
        <v>0</v>
      </c>
      <c r="K42" s="102">
        <v>0</v>
      </c>
      <c r="L42" s="113">
        <f>SUM(J42:K42)</f>
        <v>0</v>
      </c>
    </row>
    <row r="43" spans="1:12" s="9" customFormat="1" ht="15.75">
      <c r="A43" s="25" t="s">
        <v>57</v>
      </c>
      <c r="B43" s="113">
        <f>B39</f>
        <v>91416.48199999999</v>
      </c>
      <c r="C43" s="113">
        <f>+C40+C41+C42</f>
        <v>0</v>
      </c>
      <c r="D43" s="113">
        <f>+D40+D41+D42</f>
        <v>0</v>
      </c>
      <c r="E43" s="113">
        <f>E39</f>
        <v>29267.762000000002</v>
      </c>
      <c r="F43" s="113">
        <f>F39</f>
        <v>0</v>
      </c>
      <c r="G43" s="113">
        <f>G39</f>
        <v>24849.936</v>
      </c>
      <c r="H43" s="113">
        <f>SUM(H39:H42)</f>
        <v>-189469.216874</v>
      </c>
      <c r="I43" s="113">
        <f>I39</f>
        <v>120821.834</v>
      </c>
      <c r="J43" s="113">
        <f>SUM(B43:I43)</f>
        <v>76886.79712599999</v>
      </c>
      <c r="K43" s="113">
        <f>+K40+K41+K42</f>
        <v>0</v>
      </c>
      <c r="L43" s="113">
        <f>SUM(J43:K43)</f>
        <v>76886.79712599999</v>
      </c>
    </row>
    <row r="44" spans="1:12" ht="15.75">
      <c r="A44" s="26"/>
      <c r="B44" s="102"/>
      <c r="C44" s="102"/>
      <c r="D44" s="102"/>
      <c r="E44" s="102"/>
      <c r="F44" s="102"/>
      <c r="G44" s="102"/>
      <c r="H44" s="102"/>
      <c r="I44" s="102"/>
      <c r="J44" s="102"/>
      <c r="K44" s="102"/>
      <c r="L44" s="102"/>
    </row>
    <row r="45" spans="1:12" s="9" customFormat="1" ht="15.75">
      <c r="A45" s="174" t="s">
        <v>227</v>
      </c>
      <c r="B45" s="169"/>
      <c r="C45" s="169"/>
      <c r="D45" s="169"/>
      <c r="E45" s="175"/>
      <c r="F45" s="175"/>
      <c r="G45" s="169"/>
      <c r="H45" s="169"/>
      <c r="I45" s="169"/>
      <c r="J45" s="169"/>
      <c r="K45" s="169"/>
      <c r="L45" s="165"/>
    </row>
    <row r="46" spans="1:12" s="9" customFormat="1" ht="15.75">
      <c r="A46" s="163" t="s">
        <v>228</v>
      </c>
      <c r="B46" s="168"/>
      <c r="C46" s="168"/>
      <c r="D46" s="168"/>
      <c r="E46" s="168"/>
      <c r="F46" s="168"/>
      <c r="G46" s="168"/>
      <c r="H46" s="168"/>
      <c r="I46" s="168"/>
      <c r="J46" s="168"/>
      <c r="K46" s="168"/>
      <c r="L46" s="164"/>
    </row>
    <row r="47" spans="1:12" ht="15.75">
      <c r="A47" s="26" t="s">
        <v>59</v>
      </c>
      <c r="B47" s="102">
        <f>34437500/1000</f>
        <v>34437.5</v>
      </c>
      <c r="C47" s="102">
        <v>0</v>
      </c>
      <c r="D47" s="102">
        <v>0</v>
      </c>
      <c r="E47" s="102">
        <v>0</v>
      </c>
      <c r="F47" s="102">
        <v>0</v>
      </c>
      <c r="G47" s="102">
        <v>0</v>
      </c>
      <c r="H47" s="102">
        <v>0</v>
      </c>
      <c r="I47" s="102">
        <v>4132</v>
      </c>
      <c r="J47" s="113">
        <f>SUM(B47:I47)</f>
        <v>38569.5</v>
      </c>
      <c r="K47" s="102">
        <v>0</v>
      </c>
      <c r="L47" s="113">
        <f>SUM(J47:K47)</f>
        <v>38569.5</v>
      </c>
    </row>
    <row r="48" spans="1:12" s="10" customFormat="1" ht="15.75">
      <c r="A48" s="26" t="s">
        <v>60</v>
      </c>
      <c r="B48" s="102">
        <v>0</v>
      </c>
      <c r="C48" s="102">
        <v>0</v>
      </c>
      <c r="D48" s="102">
        <v>0</v>
      </c>
      <c r="E48" s="102">
        <v>0</v>
      </c>
      <c r="F48" s="102">
        <v>0</v>
      </c>
      <c r="G48" s="102">
        <v>0</v>
      </c>
      <c r="H48" s="102">
        <v>0</v>
      </c>
      <c r="I48" s="102">
        <v>0</v>
      </c>
      <c r="J48" s="113">
        <f aca="true" t="shared" si="4" ref="J48:J56">SUM(B48:I48)</f>
        <v>0</v>
      </c>
      <c r="K48" s="102">
        <v>0</v>
      </c>
      <c r="L48" s="113">
        <f aca="true" t="shared" si="5" ref="L48:L56">SUM(J48:K48)</f>
        <v>0</v>
      </c>
    </row>
    <row r="49" spans="1:12" ht="15.75">
      <c r="A49" s="26" t="s">
        <v>61</v>
      </c>
      <c r="B49" s="102">
        <v>0</v>
      </c>
      <c r="C49" s="102">
        <v>0</v>
      </c>
      <c r="D49" s="102">
        <v>0</v>
      </c>
      <c r="E49" s="102">
        <v>0</v>
      </c>
      <c r="F49" s="102">
        <v>0</v>
      </c>
      <c r="G49" s="102">
        <v>0</v>
      </c>
      <c r="H49" s="102">
        <v>0</v>
      </c>
      <c r="I49" s="102">
        <v>0</v>
      </c>
      <c r="J49" s="113">
        <f t="shared" si="4"/>
        <v>0</v>
      </c>
      <c r="K49" s="102">
        <v>0</v>
      </c>
      <c r="L49" s="113">
        <f t="shared" si="5"/>
        <v>0</v>
      </c>
    </row>
    <row r="50" spans="1:12" ht="15.75">
      <c r="A50" s="26" t="s">
        <v>62</v>
      </c>
      <c r="B50" s="102">
        <v>0</v>
      </c>
      <c r="C50" s="102">
        <v>0</v>
      </c>
      <c r="D50" s="102">
        <v>0</v>
      </c>
      <c r="E50" s="102">
        <v>0</v>
      </c>
      <c r="F50" s="102">
        <v>0</v>
      </c>
      <c r="G50" s="102">
        <v>0</v>
      </c>
      <c r="H50" s="102">
        <v>0</v>
      </c>
      <c r="I50" s="102">
        <v>0</v>
      </c>
      <c r="J50" s="113">
        <f t="shared" si="4"/>
        <v>0</v>
      </c>
      <c r="K50" s="102">
        <v>0</v>
      </c>
      <c r="L50" s="113">
        <f t="shared" si="5"/>
        <v>0</v>
      </c>
    </row>
    <row r="51" spans="1:12" ht="15.75">
      <c r="A51" s="26" t="s">
        <v>230</v>
      </c>
      <c r="B51" s="102">
        <v>0</v>
      </c>
      <c r="C51" s="102">
        <v>0</v>
      </c>
      <c r="D51" s="102">
        <v>0</v>
      </c>
      <c r="E51" s="102">
        <v>0</v>
      </c>
      <c r="F51" s="102">
        <v>0</v>
      </c>
      <c r="G51" s="102">
        <v>0</v>
      </c>
      <c r="H51" s="102">
        <v>0</v>
      </c>
      <c r="I51" s="102">
        <f>(2049705+429)/1000</f>
        <v>2050.134</v>
      </c>
      <c r="J51" s="113">
        <f t="shared" si="4"/>
        <v>2050.134</v>
      </c>
      <c r="K51" s="102">
        <v>0</v>
      </c>
      <c r="L51" s="113">
        <f t="shared" si="5"/>
        <v>2050.134</v>
      </c>
    </row>
    <row r="52" spans="1:12" ht="15.75">
      <c r="A52" s="26" t="s">
        <v>63</v>
      </c>
      <c r="B52" s="102">
        <v>0</v>
      </c>
      <c r="C52" s="102">
        <v>0</v>
      </c>
      <c r="D52" s="102">
        <v>0</v>
      </c>
      <c r="E52" s="102">
        <v>0</v>
      </c>
      <c r="F52" s="102">
        <v>0</v>
      </c>
      <c r="G52" s="102">
        <v>0</v>
      </c>
      <c r="H52" s="102">
        <v>0</v>
      </c>
      <c r="I52" s="102">
        <v>0</v>
      </c>
      <c r="J52" s="113">
        <f t="shared" si="4"/>
        <v>0</v>
      </c>
      <c r="K52" s="102">
        <v>0</v>
      </c>
      <c r="L52" s="113">
        <f t="shared" si="5"/>
        <v>0</v>
      </c>
    </row>
    <row r="53" spans="1:12" ht="15.75">
      <c r="A53" s="26" t="s">
        <v>64</v>
      </c>
      <c r="B53" s="102">
        <v>0</v>
      </c>
      <c r="C53" s="102">
        <v>0</v>
      </c>
      <c r="D53" s="102">
        <v>0</v>
      </c>
      <c r="E53" s="102">
        <v>0</v>
      </c>
      <c r="F53" s="102">
        <v>0</v>
      </c>
      <c r="G53" s="102">
        <v>0</v>
      </c>
      <c r="H53" s="102">
        <v>0</v>
      </c>
      <c r="I53" s="102">
        <v>0</v>
      </c>
      <c r="J53" s="113">
        <f t="shared" si="4"/>
        <v>0</v>
      </c>
      <c r="K53" s="102">
        <v>0</v>
      </c>
      <c r="L53" s="113">
        <f t="shared" si="5"/>
        <v>0</v>
      </c>
    </row>
    <row r="54" spans="1:12" ht="15.75">
      <c r="A54" s="6" t="s">
        <v>65</v>
      </c>
      <c r="B54" s="321">
        <v>0</v>
      </c>
      <c r="C54" s="321">
        <v>0</v>
      </c>
      <c r="D54" s="321">
        <v>0</v>
      </c>
      <c r="E54" s="321">
        <v>0</v>
      </c>
      <c r="F54" s="321">
        <v>0</v>
      </c>
      <c r="G54" s="321">
        <v>0</v>
      </c>
      <c r="H54" s="321">
        <v>0</v>
      </c>
      <c r="I54" s="321">
        <v>0</v>
      </c>
      <c r="J54" s="319">
        <f t="shared" si="4"/>
        <v>0</v>
      </c>
      <c r="K54" s="321">
        <v>0</v>
      </c>
      <c r="L54" s="319">
        <f t="shared" si="5"/>
        <v>0</v>
      </c>
    </row>
    <row r="55" spans="1:12" ht="15.75">
      <c r="A55" s="167" t="s">
        <v>66</v>
      </c>
      <c r="B55" s="322"/>
      <c r="C55" s="322"/>
      <c r="D55" s="322"/>
      <c r="E55" s="322"/>
      <c r="F55" s="322"/>
      <c r="G55" s="322"/>
      <c r="H55" s="322"/>
      <c r="I55" s="322"/>
      <c r="J55" s="320"/>
      <c r="K55" s="322"/>
      <c r="L55" s="320"/>
    </row>
    <row r="56" spans="1:14" ht="15.75">
      <c r="A56" s="6" t="s">
        <v>67</v>
      </c>
      <c r="B56" s="102">
        <v>0</v>
      </c>
      <c r="C56" s="102">
        <v>0</v>
      </c>
      <c r="D56" s="102">
        <v>0</v>
      </c>
      <c r="E56" s="102"/>
      <c r="F56" s="102">
        <v>0</v>
      </c>
      <c r="G56" s="102">
        <f>-846692/1000</f>
        <v>-846.692</v>
      </c>
      <c r="H56" s="102">
        <v>0</v>
      </c>
      <c r="I56" s="102"/>
      <c r="J56" s="113">
        <f t="shared" si="4"/>
        <v>-846.692</v>
      </c>
      <c r="K56" s="102">
        <v>0</v>
      </c>
      <c r="L56" s="113">
        <f t="shared" si="5"/>
        <v>-846.692</v>
      </c>
      <c r="N56" s="60"/>
    </row>
    <row r="57" spans="1:13" s="9" customFormat="1" ht="15.75">
      <c r="A57" s="25" t="s">
        <v>68</v>
      </c>
      <c r="B57" s="113">
        <f>SUM(B47:B56)</f>
        <v>34437.5</v>
      </c>
      <c r="C57" s="113">
        <f aca="true" t="shared" si="6" ref="C57:K57">SUM(C47:C56)</f>
        <v>0</v>
      </c>
      <c r="D57" s="113">
        <f t="shared" si="6"/>
        <v>0</v>
      </c>
      <c r="E57" s="113">
        <f t="shared" si="6"/>
        <v>0</v>
      </c>
      <c r="F57" s="113">
        <f>SUM(F47:F56)</f>
        <v>0</v>
      </c>
      <c r="G57" s="113">
        <f>SUM(G47:G56)</f>
        <v>-846.692</v>
      </c>
      <c r="H57" s="113">
        <f t="shared" si="6"/>
        <v>0</v>
      </c>
      <c r="I57" s="113">
        <f t="shared" si="6"/>
        <v>6182.134</v>
      </c>
      <c r="J57" s="113">
        <f>SUM(J47:J56)</f>
        <v>39772.941999999995</v>
      </c>
      <c r="K57" s="113">
        <f t="shared" si="6"/>
        <v>0</v>
      </c>
      <c r="L57" s="113">
        <f>SUM(L47:L56)</f>
        <v>39772.941999999995</v>
      </c>
      <c r="M57" s="18"/>
    </row>
    <row r="58" spans="1:12" s="9" customFormat="1" ht="15.75">
      <c r="A58" s="25" t="s">
        <v>365</v>
      </c>
      <c r="B58" s="113">
        <f>+B57+B43</f>
        <v>125853.98199999999</v>
      </c>
      <c r="C58" s="113">
        <f>+C43</f>
        <v>0</v>
      </c>
      <c r="D58" s="113">
        <f>+D43</f>
        <v>0</v>
      </c>
      <c r="E58" s="113">
        <f aca="true" t="shared" si="7" ref="E58:J58">+E57+E43</f>
        <v>29267.762000000002</v>
      </c>
      <c r="F58" s="113">
        <f t="shared" si="7"/>
        <v>0</v>
      </c>
      <c r="G58" s="113">
        <f t="shared" si="7"/>
        <v>24003.244000000002</v>
      </c>
      <c r="H58" s="113">
        <f t="shared" si="7"/>
        <v>-189469.216874</v>
      </c>
      <c r="I58" s="113">
        <f t="shared" si="7"/>
        <v>127003.96800000001</v>
      </c>
      <c r="J58" s="113">
        <f t="shared" si="7"/>
        <v>116659.73912599999</v>
      </c>
      <c r="K58" s="113">
        <f>+K43</f>
        <v>0</v>
      </c>
      <c r="L58" s="113">
        <f>+K58+J58</f>
        <v>116659.73912599999</v>
      </c>
    </row>
    <row r="59" ht="15">
      <c r="I59" s="103"/>
    </row>
    <row r="60" ht="15">
      <c r="I60" s="117"/>
    </row>
    <row r="61" ht="15">
      <c r="J61" s="12"/>
    </row>
    <row r="62" ht="15">
      <c r="J62" s="12"/>
    </row>
    <row r="63" ht="15">
      <c r="J63" s="11"/>
    </row>
    <row r="64" ht="15">
      <c r="J64" s="11"/>
    </row>
  </sheetData>
  <sheetProtection/>
  <mergeCells count="33">
    <mergeCell ref="B35:D35"/>
    <mergeCell ref="A1:L1"/>
    <mergeCell ref="A2:L2"/>
    <mergeCell ref="B6:D6"/>
    <mergeCell ref="A4:L4"/>
    <mergeCell ref="A3:L3"/>
    <mergeCell ref="A33:A34"/>
    <mergeCell ref="E35:H35"/>
    <mergeCell ref="E7:E9"/>
    <mergeCell ref="E6:I6"/>
    <mergeCell ref="G54:G55"/>
    <mergeCell ref="J54:J55"/>
    <mergeCell ref="B54:B55"/>
    <mergeCell ref="C54:C55"/>
    <mergeCell ref="D54:D55"/>
    <mergeCell ref="E54:E55"/>
    <mergeCell ref="F54:F55"/>
    <mergeCell ref="L54:L55"/>
    <mergeCell ref="B25:B26"/>
    <mergeCell ref="C25:C26"/>
    <mergeCell ref="D25:D26"/>
    <mergeCell ref="E25:E26"/>
    <mergeCell ref="F25:F26"/>
    <mergeCell ref="H25:H26"/>
    <mergeCell ref="I25:I26"/>
    <mergeCell ref="J25:J26"/>
    <mergeCell ref="G25:G26"/>
    <mergeCell ref="L25:L26"/>
    <mergeCell ref="K25:K26"/>
    <mergeCell ref="E36:E38"/>
    <mergeCell ref="H54:H55"/>
    <mergeCell ref="I54:I55"/>
    <mergeCell ref="K54:K55"/>
  </mergeCells>
  <printOptions/>
  <pageMargins left="0.41" right="0.17" top="0.61" bottom="0.748031496062992" header="0.31496062992126" footer="0.31496062992126"/>
  <pageSetup fitToHeight="2" fitToWidth="2" horizontalDpi="600" verticalDpi="600" orientation="landscape" paperSize="9" scale="68" r:id="rId3"/>
  <legacyDrawing r:id="rId2"/>
</worksheet>
</file>

<file path=xl/worksheets/sheet5.xml><?xml version="1.0" encoding="utf-8"?>
<worksheet xmlns="http://schemas.openxmlformats.org/spreadsheetml/2006/main" xmlns:r="http://schemas.openxmlformats.org/officeDocument/2006/relationships">
  <dimension ref="A1:J66"/>
  <sheetViews>
    <sheetView zoomScalePageLayoutView="0" workbookViewId="0" topLeftCell="A49">
      <selection activeCell="B35" sqref="B35"/>
    </sheetView>
  </sheetViews>
  <sheetFormatPr defaultColWidth="9.140625" defaultRowHeight="15"/>
  <cols>
    <col min="1" max="1" width="64.8515625" style="136" customWidth="1"/>
    <col min="2" max="2" width="11.57421875" style="255" customWidth="1"/>
    <col min="3" max="3" width="12.57421875" style="136" customWidth="1"/>
    <col min="4" max="5" width="10.57421875" style="136" hidden="1" customWidth="1"/>
    <col min="6" max="6" width="9.140625" style="136" customWidth="1"/>
    <col min="7" max="7" width="10.421875" style="136" bestFit="1" customWidth="1"/>
    <col min="8" max="16384" width="9.140625" style="136" customWidth="1"/>
  </cols>
  <sheetData>
    <row r="1" spans="1:5" ht="15.75">
      <c r="A1" s="339" t="s">
        <v>21</v>
      </c>
      <c r="B1" s="340"/>
      <c r="C1" s="340"/>
      <c r="D1" s="340"/>
      <c r="E1" s="341"/>
    </row>
    <row r="2" spans="1:5" ht="15.75">
      <c r="A2" s="342" t="s">
        <v>133</v>
      </c>
      <c r="B2" s="343"/>
      <c r="C2" s="343"/>
      <c r="D2" s="343"/>
      <c r="E2" s="344"/>
    </row>
    <row r="3" spans="1:5" ht="15.75">
      <c r="A3" s="342" t="s">
        <v>361</v>
      </c>
      <c r="B3" s="343"/>
      <c r="C3" s="343"/>
      <c r="D3" s="343"/>
      <c r="E3" s="344"/>
    </row>
    <row r="4" spans="1:5" ht="15.75">
      <c r="A4" s="335"/>
      <c r="B4" s="336"/>
      <c r="C4" s="336"/>
      <c r="D4" s="336"/>
      <c r="E4" s="337"/>
    </row>
    <row r="5" spans="1:5" ht="15.75">
      <c r="A5" s="137"/>
      <c r="B5" s="338" t="s">
        <v>163</v>
      </c>
      <c r="C5" s="338"/>
      <c r="D5" s="338" t="s">
        <v>134</v>
      </c>
      <c r="E5" s="338"/>
    </row>
    <row r="6" spans="1:5" ht="15.75">
      <c r="A6" s="138" t="s">
        <v>189</v>
      </c>
      <c r="B6" s="259" t="s">
        <v>17</v>
      </c>
      <c r="C6" s="207" t="s">
        <v>320</v>
      </c>
      <c r="D6" s="207" t="s">
        <v>17</v>
      </c>
      <c r="E6" s="207" t="s">
        <v>320</v>
      </c>
    </row>
    <row r="7" spans="1:5" ht="15.75">
      <c r="A7" s="139"/>
      <c r="B7" s="259" t="s">
        <v>319</v>
      </c>
      <c r="C7" s="259" t="s">
        <v>319</v>
      </c>
      <c r="D7" s="134" t="s">
        <v>341</v>
      </c>
      <c r="E7" s="134" t="s">
        <v>166</v>
      </c>
    </row>
    <row r="8" spans="1:5" ht="15.75">
      <c r="A8" s="139"/>
      <c r="B8" s="262" t="s">
        <v>366</v>
      </c>
      <c r="C8" s="207" t="s">
        <v>333</v>
      </c>
      <c r="D8" s="207" t="s">
        <v>319</v>
      </c>
      <c r="E8" s="207" t="s">
        <v>319</v>
      </c>
    </row>
    <row r="9" spans="1:5" ht="15.75">
      <c r="A9" s="206"/>
      <c r="B9" s="256"/>
      <c r="C9" s="140" t="s">
        <v>126</v>
      </c>
      <c r="D9" s="140" t="s">
        <v>126</v>
      </c>
      <c r="E9" s="140" t="s">
        <v>126</v>
      </c>
    </row>
    <row r="10" spans="1:5" ht="15.75">
      <c r="A10" s="141" t="s">
        <v>135</v>
      </c>
      <c r="B10" s="257"/>
      <c r="C10" s="142"/>
      <c r="D10" s="142"/>
      <c r="E10" s="142"/>
    </row>
    <row r="11" spans="1:5" ht="15.75">
      <c r="A11" s="143" t="s">
        <v>234</v>
      </c>
      <c r="B11" s="260">
        <f>+'INCOME-I'!C14</f>
        <v>1649</v>
      </c>
      <c r="C11" s="99">
        <f>1799163140/1000000</f>
        <v>1799.16314</v>
      </c>
      <c r="D11" s="99">
        <v>176312.61222</v>
      </c>
      <c r="E11" s="99">
        <v>179152.130353</v>
      </c>
    </row>
    <row r="12" spans="1:5" ht="15.75">
      <c r="A12" s="143" t="s">
        <v>235</v>
      </c>
      <c r="B12" s="260">
        <f>-+'INCOME-I'!C15</f>
        <v>-674</v>
      </c>
      <c r="C12" s="99">
        <f>-680067732/1000000</f>
        <v>-680.067732</v>
      </c>
      <c r="D12" s="99">
        <v>-123521.278527</v>
      </c>
      <c r="E12" s="99">
        <v>-124476.39</v>
      </c>
    </row>
    <row r="13" spans="1:5" ht="15.75">
      <c r="A13" s="143" t="s">
        <v>236</v>
      </c>
      <c r="B13" s="260">
        <f>+'INCOME-I'!C17</f>
        <v>74</v>
      </c>
      <c r="C13" s="99">
        <f>100097108/1000000</f>
        <v>100.097108</v>
      </c>
      <c r="D13" s="99">
        <v>9313.887367</v>
      </c>
      <c r="E13" s="99">
        <v>10221.239</v>
      </c>
    </row>
    <row r="14" spans="1:5" ht="15.75">
      <c r="A14" s="143" t="s">
        <v>237</v>
      </c>
      <c r="B14" s="260">
        <f>+'INCOME-I'!C20</f>
        <v>4</v>
      </c>
      <c r="C14" s="99">
        <f>5504222/1000000</f>
        <v>5.504222</v>
      </c>
      <c r="D14" s="99">
        <v>454.784301</v>
      </c>
      <c r="E14" s="99">
        <v>4546.288</v>
      </c>
    </row>
    <row r="15" spans="1:5" s="177" customFormat="1" ht="15.75">
      <c r="A15" s="143" t="s">
        <v>238</v>
      </c>
      <c r="B15" s="260">
        <f>-'INCOME-I'!C32</f>
        <v>-36</v>
      </c>
      <c r="C15" s="99">
        <f>-45755987/1000000</f>
        <v>-45.755987</v>
      </c>
      <c r="D15" s="99">
        <v>-26468.482299</v>
      </c>
      <c r="E15" s="99">
        <v>-29941.45</v>
      </c>
    </row>
    <row r="16" spans="1:5" s="177" customFormat="1" ht="15.75">
      <c r="A16" s="143" t="s">
        <v>239</v>
      </c>
      <c r="B16" s="260">
        <f>-('INCOME-I'!C36+'INCOME-I'!C37)</f>
        <v>-208</v>
      </c>
      <c r="C16" s="99">
        <f>-196893480/1000000</f>
        <v>-196.89348</v>
      </c>
      <c r="D16" s="99">
        <v>0</v>
      </c>
      <c r="E16" s="99">
        <v>0</v>
      </c>
    </row>
    <row r="17" spans="1:5" s="177" customFormat="1" ht="15.75">
      <c r="A17" s="143" t="s">
        <v>240</v>
      </c>
      <c r="B17" s="260">
        <f>+'INCOME-I'!C28</f>
        <v>11</v>
      </c>
      <c r="C17" s="99">
        <f>17065048/1000000</f>
        <v>17.065048</v>
      </c>
      <c r="D17" s="99">
        <v>32294.537705</v>
      </c>
      <c r="E17" s="99">
        <v>22696.836</v>
      </c>
    </row>
    <row r="18" spans="1:5" s="177" customFormat="1" ht="15.75">
      <c r="A18" s="143" t="s">
        <v>241</v>
      </c>
      <c r="B18" s="260">
        <f>-'INCOME-I'!C33-'INCOME-I'!C34</f>
        <v>-47</v>
      </c>
      <c r="C18" s="99">
        <f>-(4469498+62530289+44975077)/1000000</f>
        <v>-111.974864</v>
      </c>
      <c r="D18" s="99">
        <f>-109944.162489-11499.333041-6548.000993+22368000000/1000000</f>
        <v>-105623.496523</v>
      </c>
      <c r="E18" s="99">
        <f>-122607.838-10948.759-14959.044+23920200000/1000000</f>
        <v>-124595.441</v>
      </c>
    </row>
    <row r="19" spans="1:5" s="177" customFormat="1" ht="16.5" thickBot="1">
      <c r="A19" s="141" t="s">
        <v>242</v>
      </c>
      <c r="B19" s="208">
        <f>SUM(B11:B18)</f>
        <v>773</v>
      </c>
      <c r="C19" s="208">
        <f>SUM(C11:C18)</f>
        <v>887.1374550000002</v>
      </c>
      <c r="D19" s="208">
        <f>SUM(D11:D18)</f>
        <v>-37237.43575599999</v>
      </c>
      <c r="E19" s="208">
        <f>SUM(E11:E18)</f>
        <v>-62396.78764700002</v>
      </c>
    </row>
    <row r="20" spans="1:5" s="177" customFormat="1" ht="16.5" thickTop="1">
      <c r="A20" s="143"/>
      <c r="B20" s="170"/>
      <c r="C20" s="170"/>
      <c r="D20" s="170"/>
      <c r="E20" s="170"/>
    </row>
    <row r="21" spans="1:5" s="177" customFormat="1" ht="15.75">
      <c r="A21" s="141" t="s">
        <v>243</v>
      </c>
      <c r="B21" s="99"/>
      <c r="C21" s="99"/>
      <c r="D21" s="99"/>
      <c r="E21" s="99"/>
    </row>
    <row r="22" spans="1:5" s="177" customFormat="1" ht="15.75">
      <c r="A22" s="143" t="s">
        <v>244</v>
      </c>
      <c r="B22" s="260">
        <f>+'FINANCIAL POSITION'!C14-'FINANCIAL POSITION'!B14</f>
        <v>114.15050600000001</v>
      </c>
      <c r="C22" s="99">
        <v>0</v>
      </c>
      <c r="D22" s="99">
        <v>0</v>
      </c>
      <c r="E22" s="99">
        <v>0</v>
      </c>
    </row>
    <row r="23" spans="1:5" s="177" customFormat="1" ht="15.75">
      <c r="A23" s="143" t="s">
        <v>245</v>
      </c>
      <c r="B23" s="260">
        <f>+'FINANCIAL POSITION'!C21-'FINANCIAL POSITION'!B21</f>
        <v>1878.8681399999996</v>
      </c>
      <c r="C23" s="99">
        <v>0</v>
      </c>
      <c r="D23" s="99">
        <v>0</v>
      </c>
      <c r="E23" s="99">
        <v>0</v>
      </c>
    </row>
    <row r="24" spans="1:6" s="177" customFormat="1" ht="15.75">
      <c r="A24" s="143" t="s">
        <v>246</v>
      </c>
      <c r="B24" s="258">
        <f>'FINANCIAL POSITION'!C22-'FINANCIAL POSITION'!B22+('FINANCIAL POSITION'!C31-'FINANCIAL POSITION'!B31)</f>
        <v>-17289.874345</v>
      </c>
      <c r="C24" s="99">
        <f>+(-39470855-2897310200+156052)/1000000</f>
        <v>-2936.625003</v>
      </c>
      <c r="D24" s="99">
        <f>+(95236284-69695679)/1000</f>
        <v>25540.605</v>
      </c>
      <c r="E24" s="280">
        <f>+(103290155-93050623)/1000</f>
        <v>10239.532</v>
      </c>
      <c r="F24" s="281"/>
    </row>
    <row r="25" spans="1:5" s="177" customFormat="1" ht="15.75">
      <c r="A25" s="143"/>
      <c r="B25" s="260"/>
      <c r="C25" s="156"/>
      <c r="D25" s="156"/>
      <c r="E25" s="156"/>
    </row>
    <row r="26" spans="1:5" s="177" customFormat="1" ht="15.75">
      <c r="A26" s="141" t="s">
        <v>247</v>
      </c>
      <c r="B26" s="261"/>
      <c r="C26" s="156"/>
      <c r="D26" s="156"/>
      <c r="E26" s="156"/>
    </row>
    <row r="27" spans="1:5" s="177" customFormat="1" ht="15.75">
      <c r="A27" s="143" t="s">
        <v>248</v>
      </c>
      <c r="B27" s="261">
        <f>'FINANCIAL POSITION'!B40-'FINANCIAL POSITION'!C40</f>
        <v>2816.582408</v>
      </c>
      <c r="C27" s="156">
        <v>0</v>
      </c>
      <c r="D27" s="156">
        <v>0</v>
      </c>
      <c r="E27" s="156">
        <v>0</v>
      </c>
    </row>
    <row r="28" spans="1:5" s="177" customFormat="1" ht="15.75">
      <c r="A28" s="179" t="s">
        <v>249</v>
      </c>
      <c r="B28" s="261">
        <v>0</v>
      </c>
      <c r="C28" s="156">
        <v>0</v>
      </c>
      <c r="D28" s="156">
        <v>0</v>
      </c>
      <c r="E28" s="156">
        <v>0</v>
      </c>
    </row>
    <row r="29" spans="1:5" s="177" customFormat="1" ht="15.75">
      <c r="A29" s="143" t="s">
        <v>250</v>
      </c>
      <c r="B29" s="261">
        <f>'FINANCIAL POSITION'!B34-'FINANCIAL POSITION'!C34</f>
        <v>9542.649747</v>
      </c>
      <c r="C29" s="156">
        <v>0</v>
      </c>
      <c r="D29" s="156">
        <v>0</v>
      </c>
      <c r="E29" s="156">
        <v>0</v>
      </c>
    </row>
    <row r="30" spans="1:5" s="177" customFormat="1" ht="15.75">
      <c r="A30" s="143" t="s">
        <v>251</v>
      </c>
      <c r="B30" s="261">
        <f>('FINANCIAL POSITION'!B47-('FINANCIAL POSITION'!C47-(5622819.42950499/1000000)))+('FINANCIAL POSITION'!B44-'FINANCIAL POSITION'!C44)+('FINANCIAL POSITION'!B45-'FINANCIAL POSITION'!C45)</f>
        <v>171.080066429505</v>
      </c>
      <c r="C30" s="156">
        <f>+(-2186659303-1126000-159238)/1000000</f>
        <v>-2187.944541</v>
      </c>
      <c r="D30" s="156">
        <f>(9104474+3895295)/1000</f>
        <v>12999.769</v>
      </c>
      <c r="E30" s="156">
        <f>(41420233+4527826)/1000</f>
        <v>45948.059</v>
      </c>
    </row>
    <row r="31" spans="1:5" s="177" customFormat="1" ht="15.75">
      <c r="A31" s="141" t="s">
        <v>252</v>
      </c>
      <c r="B31" s="261"/>
      <c r="C31" s="156"/>
      <c r="D31" s="156"/>
      <c r="E31" s="156"/>
    </row>
    <row r="32" spans="1:5" s="177" customFormat="1" ht="15.75">
      <c r="A32" s="143"/>
      <c r="B32" s="261"/>
      <c r="C32" s="156"/>
      <c r="D32" s="156"/>
      <c r="E32" s="156"/>
    </row>
    <row r="33" spans="1:5" s="177" customFormat="1" ht="15.75">
      <c r="A33" s="143" t="s">
        <v>253</v>
      </c>
      <c r="B33" s="261">
        <f>-(58486523+74213421+45627362)/1000000</f>
        <v>-178.327306</v>
      </c>
      <c r="C33" s="156">
        <f>-191521853/1000000</f>
        <v>-191.521853</v>
      </c>
      <c r="D33" s="156">
        <f>-9161526/1000</f>
        <v>-9161.526</v>
      </c>
      <c r="E33" s="156">
        <f>-13776381/1000</f>
        <v>-13776.381</v>
      </c>
    </row>
    <row r="34" spans="1:5" s="177" customFormat="1" ht="16.5" thickBot="1">
      <c r="A34" s="141" t="s">
        <v>254</v>
      </c>
      <c r="B34" s="211">
        <f>SUM(B19:B33)</f>
        <v>-2171.870783570495</v>
      </c>
      <c r="C34" s="211">
        <f>SUM(C19:C33)</f>
        <v>-4428.953942</v>
      </c>
      <c r="D34" s="211">
        <f>SUM(D19:D33)</f>
        <v>-7858.587755999992</v>
      </c>
      <c r="E34" s="211">
        <f>SUM(E19:E33)</f>
        <v>-19985.57764700002</v>
      </c>
    </row>
    <row r="35" spans="1:5" s="177" customFormat="1" ht="16.5" thickTop="1">
      <c r="A35" s="141"/>
      <c r="B35" s="209"/>
      <c r="C35" s="209"/>
      <c r="D35" s="209"/>
      <c r="E35" s="209"/>
    </row>
    <row r="36" spans="1:5" ht="15.75">
      <c r="A36" s="141" t="s">
        <v>136</v>
      </c>
      <c r="B36" s="210"/>
      <c r="C36" s="210"/>
      <c r="D36" s="210"/>
      <c r="E36" s="210"/>
    </row>
    <row r="37" spans="1:5" ht="15.75">
      <c r="A37" s="143" t="s">
        <v>137</v>
      </c>
      <c r="B37" s="156">
        <v>0</v>
      </c>
      <c r="C37" s="156">
        <f>-2055855/1000000</f>
        <v>-2.055855</v>
      </c>
      <c r="D37" s="156">
        <f>-8478824/1000</f>
        <v>-8478.824</v>
      </c>
      <c r="E37" s="156">
        <f>-1164597/1000</f>
        <v>-1164.597</v>
      </c>
    </row>
    <row r="38" spans="1:5" ht="15.75">
      <c r="A38" s="143" t="s">
        <v>138</v>
      </c>
      <c r="B38" s="156">
        <v>0</v>
      </c>
      <c r="C38" s="156">
        <v>0</v>
      </c>
      <c r="D38" s="156">
        <f>2007454/1000</f>
        <v>2007.454</v>
      </c>
      <c r="E38" s="156">
        <f>66816/1000</f>
        <v>66.816</v>
      </c>
    </row>
    <row r="39" spans="1:5" ht="15.75">
      <c r="A39" s="143" t="s">
        <v>139</v>
      </c>
      <c r="B39" s="156">
        <v>0</v>
      </c>
      <c r="C39" s="156">
        <f>9602033028/1000000</f>
        <v>9602.033028</v>
      </c>
      <c r="D39" s="156">
        <v>0</v>
      </c>
      <c r="E39" s="156">
        <v>0</v>
      </c>
    </row>
    <row r="40" spans="1:5" ht="15.75">
      <c r="A40" s="143" t="s">
        <v>140</v>
      </c>
      <c r="B40" s="156">
        <v>0</v>
      </c>
      <c r="C40" s="156">
        <v>0</v>
      </c>
      <c r="D40" s="156">
        <v>0</v>
      </c>
      <c r="E40" s="156">
        <v>0</v>
      </c>
    </row>
    <row r="41" spans="1:5" ht="15.75">
      <c r="A41" s="143" t="s">
        <v>141</v>
      </c>
      <c r="B41" s="156">
        <v>0</v>
      </c>
      <c r="C41" s="156">
        <v>0</v>
      </c>
      <c r="D41" s="156">
        <v>0</v>
      </c>
      <c r="E41" s="156">
        <v>0</v>
      </c>
    </row>
    <row r="42" spans="1:5" ht="31.5">
      <c r="A42" s="178" t="s">
        <v>256</v>
      </c>
      <c r="B42" s="156">
        <v>0</v>
      </c>
      <c r="C42" s="156">
        <v>0</v>
      </c>
      <c r="D42" s="156">
        <v>0</v>
      </c>
      <c r="E42" s="156">
        <v>0</v>
      </c>
    </row>
    <row r="43" spans="1:5" ht="31.5">
      <c r="A43" s="178" t="s">
        <v>257</v>
      </c>
      <c r="B43" s="156">
        <v>0</v>
      </c>
      <c r="C43" s="156">
        <v>0</v>
      </c>
      <c r="D43" s="156">
        <v>0</v>
      </c>
      <c r="E43" s="156">
        <v>0</v>
      </c>
    </row>
    <row r="44" spans="1:5" ht="15.75">
      <c r="A44" s="143" t="s">
        <v>142</v>
      </c>
      <c r="B44" s="156">
        <v>0</v>
      </c>
      <c r="C44" s="156">
        <f>1126000/1000000</f>
        <v>1.126</v>
      </c>
      <c r="D44" s="156">
        <v>0</v>
      </c>
      <c r="E44" s="156">
        <v>0</v>
      </c>
    </row>
    <row r="45" spans="1:5" ht="15.75">
      <c r="A45" s="143" t="s">
        <v>143</v>
      </c>
      <c r="B45" s="156">
        <v>0</v>
      </c>
      <c r="C45" s="156">
        <v>0</v>
      </c>
      <c r="D45" s="156">
        <v>0</v>
      </c>
      <c r="E45" s="156">
        <v>0</v>
      </c>
    </row>
    <row r="46" spans="1:5" ht="16.5" thickBot="1">
      <c r="A46" s="141" t="s">
        <v>144</v>
      </c>
      <c r="B46" s="211">
        <f>SUM(B37:B45)</f>
        <v>0</v>
      </c>
      <c r="C46" s="211">
        <f>SUM(C37:C45)</f>
        <v>9601.103173</v>
      </c>
      <c r="D46" s="211">
        <f>SUM(D37:D45)</f>
        <v>-6471.370000000001</v>
      </c>
      <c r="E46" s="211">
        <f>SUM(E37:E45)</f>
        <v>-1097.781</v>
      </c>
    </row>
    <row r="47" spans="1:5" s="177" customFormat="1" ht="16.5" thickTop="1">
      <c r="A47" s="143"/>
      <c r="B47" s="212"/>
      <c r="C47" s="212"/>
      <c r="D47" s="212"/>
      <c r="E47" s="212"/>
    </row>
    <row r="48" spans="1:5" ht="15.75">
      <c r="A48" s="141" t="s">
        <v>145</v>
      </c>
      <c r="B48" s="156"/>
      <c r="C48" s="156"/>
      <c r="D48" s="156"/>
      <c r="E48" s="156"/>
    </row>
    <row r="49" spans="1:5" ht="15.75">
      <c r="A49" s="143" t="s">
        <v>146</v>
      </c>
      <c r="B49" s="156">
        <v>0</v>
      </c>
      <c r="C49" s="156">
        <v>0</v>
      </c>
      <c r="D49" s="156">
        <f>62234672/1000</f>
        <v>62234.672</v>
      </c>
      <c r="E49" s="156">
        <f>57940000/1000</f>
        <v>57940</v>
      </c>
    </row>
    <row r="50" spans="1:5" ht="15.75">
      <c r="A50" s="143" t="s">
        <v>147</v>
      </c>
      <c r="B50" s="156">
        <v>0</v>
      </c>
      <c r="C50" s="156">
        <v>0</v>
      </c>
      <c r="D50" s="156">
        <v>0</v>
      </c>
      <c r="E50" s="156">
        <v>0</v>
      </c>
    </row>
    <row r="51" spans="1:5" ht="15.75">
      <c r="A51" s="143" t="s">
        <v>148</v>
      </c>
      <c r="B51" s="156">
        <v>0</v>
      </c>
      <c r="C51" s="156">
        <v>0</v>
      </c>
      <c r="D51" s="156">
        <v>0</v>
      </c>
      <c r="E51" s="156">
        <v>0</v>
      </c>
    </row>
    <row r="52" spans="1:5" ht="15.75">
      <c r="A52" s="143" t="s">
        <v>149</v>
      </c>
      <c r="B52" s="156">
        <v>0</v>
      </c>
      <c r="C52" s="156">
        <v>0</v>
      </c>
      <c r="D52" s="156">
        <v>0</v>
      </c>
      <c r="E52" s="156">
        <v>0</v>
      </c>
    </row>
    <row r="53" spans="1:5" ht="15.75">
      <c r="A53" s="143" t="s">
        <v>150</v>
      </c>
      <c r="B53" s="156">
        <v>0</v>
      </c>
      <c r="C53" s="156">
        <v>0</v>
      </c>
      <c r="D53" s="156">
        <f>-4439646/1000</f>
        <v>-4439.646</v>
      </c>
      <c r="E53" s="156">
        <f>(-4637058+1000000)/1000</f>
        <v>-3637.058</v>
      </c>
    </row>
    <row r="54" spans="1:5" ht="15.75">
      <c r="A54" s="143" t="s">
        <v>151</v>
      </c>
      <c r="B54" s="156">
        <v>0</v>
      </c>
      <c r="C54" s="156">
        <v>0</v>
      </c>
      <c r="D54" s="156">
        <v>0</v>
      </c>
      <c r="E54" s="156">
        <v>0</v>
      </c>
    </row>
    <row r="55" spans="1:5" ht="15.75">
      <c r="A55" s="143" t="s">
        <v>152</v>
      </c>
      <c r="B55" s="156">
        <v>0</v>
      </c>
      <c r="C55" s="156">
        <v>0</v>
      </c>
      <c r="D55" s="156">
        <v>0</v>
      </c>
      <c r="E55" s="156">
        <v>0</v>
      </c>
    </row>
    <row r="56" spans="1:5" ht="15.75">
      <c r="A56" s="143" t="s">
        <v>153</v>
      </c>
      <c r="B56" s="156">
        <v>0</v>
      </c>
      <c r="C56" s="156">
        <v>0</v>
      </c>
      <c r="D56" s="156">
        <v>0</v>
      </c>
      <c r="E56" s="156">
        <v>0</v>
      </c>
    </row>
    <row r="57" spans="1:5" ht="15.75">
      <c r="A57" s="143" t="s">
        <v>143</v>
      </c>
      <c r="B57" s="156">
        <v>0</v>
      </c>
      <c r="C57" s="156">
        <f>2155935980/1000000</f>
        <v>2155.93598</v>
      </c>
      <c r="D57" s="156">
        <v>0</v>
      </c>
      <c r="E57" s="156">
        <v>0</v>
      </c>
    </row>
    <row r="58" spans="1:5" ht="16.5" thickBot="1">
      <c r="A58" s="141" t="s">
        <v>255</v>
      </c>
      <c r="B58" s="211">
        <f>SUM(B49:B57)</f>
        <v>0</v>
      </c>
      <c r="C58" s="211">
        <f>SUM(C49:C57)</f>
        <v>2155.93598</v>
      </c>
      <c r="D58" s="211">
        <f>SUM(D49:D57)</f>
        <v>57795.026</v>
      </c>
      <c r="E58" s="211">
        <f>SUM(E49:E57)</f>
        <v>54302.942</v>
      </c>
    </row>
    <row r="59" spans="1:5" ht="16.5" thickTop="1">
      <c r="A59" s="141"/>
      <c r="B59" s="212"/>
      <c r="C59" s="212"/>
      <c r="D59" s="212"/>
      <c r="E59" s="212"/>
    </row>
    <row r="60" spans="1:5" ht="15.75">
      <c r="A60" s="141" t="s">
        <v>154</v>
      </c>
      <c r="B60" s="210">
        <f>+B34+B46+B58</f>
        <v>-2171.870783570495</v>
      </c>
      <c r="C60" s="210">
        <f>+C34+C46+C58</f>
        <v>7328.085211</v>
      </c>
      <c r="D60" s="210">
        <f>+D34+D46+D58</f>
        <v>43465.06824400001</v>
      </c>
      <c r="E60" s="210">
        <f>+E34+E46+E58</f>
        <v>33219.58335299998</v>
      </c>
    </row>
    <row r="61" spans="1:5" ht="15.75">
      <c r="A61" s="143" t="s">
        <v>155</v>
      </c>
      <c r="B61" s="156">
        <v>8179</v>
      </c>
      <c r="C61" s="156">
        <f>851086337/1000000</f>
        <v>851.086337</v>
      </c>
      <c r="D61" s="156">
        <f>265449908/1000</f>
        <v>265449.908</v>
      </c>
      <c r="E61" s="156">
        <f>232230326/1000</f>
        <v>232230.326</v>
      </c>
    </row>
    <row r="62" spans="1:10" ht="15.75">
      <c r="A62" s="143" t="s">
        <v>156</v>
      </c>
      <c r="B62" s="269">
        <v>-4.14</v>
      </c>
      <c r="C62" s="156">
        <v>0</v>
      </c>
      <c r="D62" s="156">
        <v>0</v>
      </c>
      <c r="E62" s="156"/>
      <c r="J62" s="136" t="s">
        <v>113</v>
      </c>
    </row>
    <row r="63" spans="1:9" ht="16.5" thickBot="1">
      <c r="A63" s="141" t="s">
        <v>157</v>
      </c>
      <c r="B63" s="211">
        <f>SUM(B60:B62)</f>
        <v>6002.989216429504</v>
      </c>
      <c r="C63" s="211">
        <f>SUM(C60:C62)</f>
        <v>8179.171547999999</v>
      </c>
      <c r="D63" s="211">
        <f>SUM(D60:D62)</f>
        <v>308914.976244</v>
      </c>
      <c r="E63" s="211">
        <f>SUM(E60:E62)</f>
        <v>265449.909353</v>
      </c>
      <c r="G63" s="277"/>
      <c r="H63" s="278"/>
      <c r="I63" s="278"/>
    </row>
    <row r="64" spans="2:9" ht="15.75" thickTop="1">
      <c r="B64" s="274">
        <f>+B63-'[2]FINANCIAL POSITION'!B13</f>
        <v>-0.01078357049573242</v>
      </c>
      <c r="G64" s="278"/>
      <c r="H64" s="279"/>
      <c r="I64" s="278"/>
    </row>
    <row r="65" spans="7:9" ht="15">
      <c r="G65" s="278"/>
      <c r="H65" s="278"/>
      <c r="I65" s="278"/>
    </row>
    <row r="66" spans="7:9" ht="15">
      <c r="G66" s="278"/>
      <c r="H66" s="278"/>
      <c r="I66" s="278"/>
    </row>
  </sheetData>
  <sheetProtection/>
  <mergeCells count="6">
    <mergeCell ref="A4:E4"/>
    <mergeCell ref="B5:C5"/>
    <mergeCell ref="D5:E5"/>
    <mergeCell ref="A1:E1"/>
    <mergeCell ref="A2:E2"/>
    <mergeCell ref="A3:E3"/>
  </mergeCells>
  <printOptions/>
  <pageMargins left="0.51" right="0.17" top="0.45" bottom="0.34" header="0.3" footer="0.18"/>
  <pageSetup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dimension ref="A1:E60"/>
  <sheetViews>
    <sheetView tabSelected="1" zoomScalePageLayoutView="0" workbookViewId="0" topLeftCell="A1">
      <selection activeCell="J61" sqref="J61"/>
    </sheetView>
  </sheetViews>
  <sheetFormatPr defaultColWidth="9.140625" defaultRowHeight="15"/>
  <cols>
    <col min="1" max="1" width="62.140625" style="3" customWidth="1"/>
    <col min="2" max="3" width="12.00390625" style="3" customWidth="1"/>
    <col min="4" max="4" width="12.00390625" style="94" customWidth="1"/>
    <col min="5" max="5" width="12.00390625" style="3" customWidth="1"/>
    <col min="6" max="16384" width="9.140625" style="3" customWidth="1"/>
  </cols>
  <sheetData>
    <row r="1" spans="1:5" ht="15.75">
      <c r="A1" s="350" t="s">
        <v>21</v>
      </c>
      <c r="B1" s="350"/>
      <c r="C1" s="350"/>
      <c r="D1" s="350"/>
      <c r="E1" s="350"/>
    </row>
    <row r="2" spans="1:5" ht="15.75">
      <c r="A2" s="350" t="s">
        <v>258</v>
      </c>
      <c r="B2" s="350"/>
      <c r="C2" s="350"/>
      <c r="D2" s="350"/>
      <c r="E2" s="350"/>
    </row>
    <row r="3" spans="1:5" ht="15.75">
      <c r="A3" s="350" t="s">
        <v>362</v>
      </c>
      <c r="B3" s="350"/>
      <c r="C3" s="350"/>
      <c r="D3" s="350"/>
      <c r="E3" s="350"/>
    </row>
    <row r="4" spans="1:5" ht="8.25" customHeight="1">
      <c r="A4" s="30"/>
      <c r="B4" s="30"/>
      <c r="C4" s="30"/>
      <c r="E4" s="30"/>
    </row>
    <row r="5" spans="1:5" ht="15.75">
      <c r="A5" s="352" t="s">
        <v>162</v>
      </c>
      <c r="B5" s="351" t="s">
        <v>16</v>
      </c>
      <c r="C5" s="351"/>
      <c r="D5" s="338" t="s">
        <v>25</v>
      </c>
      <c r="E5" s="338"/>
    </row>
    <row r="6" spans="1:5" ht="15.75">
      <c r="A6" s="353"/>
      <c r="B6" s="205" t="s">
        <v>367</v>
      </c>
      <c r="C6" s="249" t="s">
        <v>333</v>
      </c>
      <c r="D6" s="275" t="s">
        <v>367</v>
      </c>
      <c r="E6" s="249" t="s">
        <v>333</v>
      </c>
    </row>
    <row r="7" spans="1:5" ht="45.75" customHeight="1">
      <c r="A7" s="354"/>
      <c r="B7" s="129" t="s">
        <v>357</v>
      </c>
      <c r="C7" s="129" t="s">
        <v>158</v>
      </c>
      <c r="D7" s="129" t="s">
        <v>358</v>
      </c>
      <c r="E7" s="129" t="s">
        <v>125</v>
      </c>
    </row>
    <row r="8" spans="1:5" ht="15.75">
      <c r="A8" s="25" t="s">
        <v>259</v>
      </c>
      <c r="B8" s="129"/>
      <c r="C8" s="129"/>
      <c r="D8" s="129"/>
      <c r="E8" s="129"/>
    </row>
    <row r="9" spans="1:5" ht="15.75">
      <c r="A9" s="26" t="s">
        <v>260</v>
      </c>
      <c r="B9" s="87">
        <f>9549894.13234261/1000</f>
        <v>9549.89413234261</v>
      </c>
      <c r="C9" s="87">
        <f>9371093/1000</f>
        <v>9371.093</v>
      </c>
      <c r="D9" s="283">
        <v>40393.07</v>
      </c>
      <c r="E9" s="248">
        <f>9586.31*10</f>
        <v>95863.09999999999</v>
      </c>
    </row>
    <row r="10" spans="1:5" ht="15.75">
      <c r="A10" s="26" t="s">
        <v>261</v>
      </c>
      <c r="B10" s="87">
        <f>9549894.13234261/1000</f>
        <v>9549.89413234261</v>
      </c>
      <c r="C10" s="87">
        <f>9371093/1000</f>
        <v>9371.093</v>
      </c>
      <c r="D10" s="283">
        <v>40393</v>
      </c>
      <c r="E10" s="97">
        <v>96263</v>
      </c>
    </row>
    <row r="11" spans="1:5" ht="15.75">
      <c r="A11" s="26" t="s">
        <v>262</v>
      </c>
      <c r="B11" s="87">
        <f>9640962.16052261/1000</f>
        <v>9640.96216052261</v>
      </c>
      <c r="C11" s="87">
        <f>9471436/1000</f>
        <v>9471.436</v>
      </c>
      <c r="D11" s="97">
        <v>69905</v>
      </c>
      <c r="E11" s="97">
        <v>125156</v>
      </c>
    </row>
    <row r="12" spans="1:5" ht="15.75">
      <c r="A12" s="26"/>
      <c r="B12" s="87"/>
      <c r="C12" s="87"/>
      <c r="D12" s="97"/>
      <c r="E12" s="97"/>
    </row>
    <row r="13" spans="1:5" ht="15.75">
      <c r="A13" s="25" t="s">
        <v>263</v>
      </c>
      <c r="B13" s="87"/>
      <c r="C13" s="87"/>
      <c r="D13" s="97"/>
      <c r="E13" s="97"/>
    </row>
    <row r="14" spans="1:5" ht="15.75">
      <c r="A14" s="26" t="s">
        <v>328</v>
      </c>
      <c r="B14" s="266">
        <v>0.5295288268172215</v>
      </c>
      <c r="C14" s="86" t="s">
        <v>330</v>
      </c>
      <c r="D14" s="284">
        <v>0.0353</v>
      </c>
      <c r="E14" s="135">
        <v>0.0782</v>
      </c>
    </row>
    <row r="15" spans="1:5" ht="15.75">
      <c r="A15" s="26" t="s">
        <v>327</v>
      </c>
      <c r="B15" s="266">
        <v>0.5295288268172215</v>
      </c>
      <c r="C15" s="86" t="s">
        <v>330</v>
      </c>
      <c r="D15" s="284">
        <v>0.0353</v>
      </c>
      <c r="E15" s="135">
        <v>0.0782</v>
      </c>
    </row>
    <row r="16" spans="1:5" ht="15.75">
      <c r="A16" s="26" t="s">
        <v>329</v>
      </c>
      <c r="B16" s="266">
        <v>0.534578426891781</v>
      </c>
      <c r="C16" s="86" t="s">
        <v>331</v>
      </c>
      <c r="D16" s="282">
        <v>0.0553</v>
      </c>
      <c r="E16" s="96" t="s">
        <v>339</v>
      </c>
    </row>
    <row r="17" spans="1:5" ht="15.75">
      <c r="A17" s="26"/>
      <c r="B17" s="104"/>
      <c r="C17" s="104"/>
      <c r="D17" s="282"/>
      <c r="E17" s="135"/>
    </row>
    <row r="18" spans="1:5" ht="20.25" customHeight="1">
      <c r="A18" s="141" t="s">
        <v>342</v>
      </c>
      <c r="B18" s="135">
        <v>0.20379710661960884</v>
      </c>
      <c r="C18" s="135">
        <v>0.2882</v>
      </c>
      <c r="D18" s="285">
        <v>0.016</v>
      </c>
      <c r="E18" s="135">
        <v>0.0389</v>
      </c>
    </row>
    <row r="19" spans="1:5" ht="15.75">
      <c r="A19" s="26"/>
      <c r="B19" s="133"/>
      <c r="C19" s="133"/>
      <c r="D19" s="96"/>
      <c r="E19" s="96"/>
    </row>
    <row r="20" spans="1:5" ht="15.75">
      <c r="A20" s="25" t="s">
        <v>94</v>
      </c>
      <c r="B20" s="86"/>
      <c r="C20" s="86"/>
      <c r="D20" s="96"/>
      <c r="E20" s="96"/>
    </row>
    <row r="21" spans="1:5" ht="15.75">
      <c r="A21" s="26" t="s">
        <v>95</v>
      </c>
      <c r="B21" s="97">
        <v>38739.92845</v>
      </c>
      <c r="C21" s="97">
        <f>+(12257599+82847*175.35)/1000</f>
        <v>26784.82045</v>
      </c>
      <c r="D21" s="97">
        <v>624136</v>
      </c>
      <c r="E21" s="97">
        <v>609775</v>
      </c>
    </row>
    <row r="22" spans="1:5" ht="15.75">
      <c r="A22" s="26" t="s">
        <v>332</v>
      </c>
      <c r="B22" s="97"/>
      <c r="C22" s="87"/>
      <c r="D22" s="97"/>
      <c r="E22" s="97"/>
    </row>
    <row r="23" spans="1:5" ht="15.75">
      <c r="A23" s="26" t="s">
        <v>96</v>
      </c>
      <c r="B23" s="267">
        <v>1.2222440308980378</v>
      </c>
      <c r="C23" s="104">
        <v>1.0379</v>
      </c>
      <c r="D23" s="355" t="s">
        <v>369</v>
      </c>
      <c r="E23" s="357" t="s">
        <v>345</v>
      </c>
    </row>
    <row r="24" spans="1:5" ht="15.75">
      <c r="A24" s="26" t="s">
        <v>97</v>
      </c>
      <c r="B24" s="135">
        <v>1.005717516937094</v>
      </c>
      <c r="C24" s="104">
        <v>0.7378</v>
      </c>
      <c r="D24" s="356"/>
      <c r="E24" s="358"/>
    </row>
    <row r="25" spans="1:5" ht="15.75">
      <c r="A25" s="26"/>
      <c r="B25" s="135"/>
      <c r="C25" s="104"/>
      <c r="D25" s="96"/>
      <c r="E25" s="96"/>
    </row>
    <row r="26" spans="1:5" ht="15.75">
      <c r="A26" s="26" t="s">
        <v>334</v>
      </c>
      <c r="B26" s="156">
        <f>3134155.61768/1000</f>
        <v>3134.15561768</v>
      </c>
      <c r="C26" s="223">
        <f>3313488/1000</f>
        <v>3313.488</v>
      </c>
      <c r="D26" s="286">
        <v>520022.06</v>
      </c>
      <c r="E26" s="156">
        <v>422525.37</v>
      </c>
    </row>
    <row r="27" spans="1:5" ht="15.75">
      <c r="A27" s="26" t="s">
        <v>335</v>
      </c>
      <c r="B27" s="135"/>
      <c r="C27" s="104"/>
      <c r="D27" s="96"/>
      <c r="E27" s="96"/>
    </row>
    <row r="28" spans="1:5" ht="15.75">
      <c r="A28" s="26" t="s">
        <v>336</v>
      </c>
      <c r="B28" s="135">
        <v>53.1231159882982</v>
      </c>
      <c r="C28" s="104">
        <v>191.8024</v>
      </c>
      <c r="D28" s="96"/>
      <c r="E28" s="96"/>
    </row>
    <row r="29" spans="1:5" ht="15.75">
      <c r="A29" s="26" t="s">
        <v>337</v>
      </c>
      <c r="B29" s="135">
        <v>5.24991723253482</v>
      </c>
      <c r="C29" s="104">
        <v>12.6531</v>
      </c>
      <c r="D29" s="284">
        <v>2.4389</v>
      </c>
      <c r="E29" s="96" t="s">
        <v>346</v>
      </c>
    </row>
    <row r="30" spans="1:5" ht="15.75">
      <c r="A30" s="26"/>
      <c r="B30" s="104"/>
      <c r="C30" s="104"/>
      <c r="D30" s="96"/>
      <c r="E30" s="96"/>
    </row>
    <row r="31" spans="1:5" ht="15.75">
      <c r="A31" s="26" t="s">
        <v>360</v>
      </c>
      <c r="B31" s="104">
        <v>6.589412285785231</v>
      </c>
      <c r="C31" s="104">
        <v>5.03</v>
      </c>
      <c r="D31" s="287" t="s">
        <v>338</v>
      </c>
      <c r="E31" s="238" t="s">
        <v>338</v>
      </c>
    </row>
    <row r="32" spans="1:5" ht="15.75">
      <c r="A32" s="26"/>
      <c r="B32" s="104"/>
      <c r="C32" s="104"/>
      <c r="D32" s="96"/>
      <c r="E32" s="96"/>
    </row>
    <row r="33" spans="1:5" ht="15.75">
      <c r="A33" s="25" t="s">
        <v>92</v>
      </c>
      <c r="B33" s="96"/>
      <c r="C33" s="96"/>
      <c r="D33" s="96"/>
      <c r="E33" s="96"/>
    </row>
    <row r="34" spans="1:5" ht="15.75">
      <c r="A34" s="26" t="s">
        <v>264</v>
      </c>
      <c r="B34" s="181">
        <v>0.08174163159865779</v>
      </c>
      <c r="C34" s="181">
        <v>0.0159</v>
      </c>
      <c r="D34" s="282">
        <v>0.1712</v>
      </c>
      <c r="E34" s="135">
        <v>0.2197</v>
      </c>
    </row>
    <row r="35" spans="1:5" ht="15.75">
      <c r="A35" s="26" t="s">
        <v>265</v>
      </c>
      <c r="B35" s="181">
        <v>0.05882114127285243</v>
      </c>
      <c r="C35" s="181">
        <v>0.0056</v>
      </c>
      <c r="D35" s="145">
        <v>0.0581</v>
      </c>
      <c r="E35" s="145">
        <v>0.1081</v>
      </c>
    </row>
    <row r="36" spans="1:5" ht="15.75">
      <c r="A36" s="26"/>
      <c r="B36" s="96"/>
      <c r="C36" s="96"/>
      <c r="D36" s="96"/>
      <c r="E36" s="96"/>
    </row>
    <row r="37" spans="1:5" ht="15.75">
      <c r="A37" s="25" t="s">
        <v>93</v>
      </c>
      <c r="B37" s="96"/>
      <c r="C37" s="96"/>
      <c r="D37" s="96"/>
      <c r="E37" s="96"/>
    </row>
    <row r="38" spans="1:5" ht="15.75">
      <c r="A38" s="26" t="s">
        <v>268</v>
      </c>
      <c r="B38" s="135">
        <v>0.031550663762043234</v>
      </c>
      <c r="C38" s="135">
        <v>0.0341</v>
      </c>
      <c r="D38" s="282">
        <v>0.02</v>
      </c>
      <c r="E38" s="135">
        <v>0.0208</v>
      </c>
    </row>
    <row r="39" spans="1:5" ht="15.75">
      <c r="A39" s="26" t="s">
        <v>266</v>
      </c>
      <c r="B39" s="135">
        <v>0.021460876397811954</v>
      </c>
      <c r="C39" s="135">
        <v>0.0187</v>
      </c>
      <c r="D39" s="96"/>
      <c r="E39" s="96"/>
    </row>
    <row r="40" spans="1:5" ht="15.75">
      <c r="A40" s="26" t="s">
        <v>267</v>
      </c>
      <c r="B40" s="135">
        <v>0.09</v>
      </c>
      <c r="C40" s="135">
        <v>0.0673</v>
      </c>
      <c r="D40" s="96"/>
      <c r="E40" s="96"/>
    </row>
    <row r="41" spans="1:5" ht="15.75" customHeight="1">
      <c r="A41" s="21"/>
      <c r="B41" s="4"/>
      <c r="C41" s="4"/>
      <c r="D41" s="153"/>
      <c r="E41" s="4"/>
    </row>
    <row r="42" spans="1:5" ht="15.75" hidden="1">
      <c r="A42" s="105" t="s">
        <v>127</v>
      </c>
      <c r="B42" s="106"/>
      <c r="C42" s="106"/>
      <c r="D42" s="160"/>
      <c r="E42" s="107"/>
    </row>
    <row r="43" spans="1:5" ht="15.75" hidden="1">
      <c r="A43" s="105"/>
      <c r="B43" s="106"/>
      <c r="C43" s="106"/>
      <c r="D43" s="160"/>
      <c r="E43" s="107"/>
    </row>
    <row r="44" spans="1:5" ht="126.75" customHeight="1" hidden="1">
      <c r="A44" s="346" t="s">
        <v>159</v>
      </c>
      <c r="B44" s="346"/>
      <c r="C44" s="346"/>
      <c r="D44" s="346"/>
      <c r="E44" s="346"/>
    </row>
    <row r="45" spans="1:5" ht="15.75" hidden="1">
      <c r="A45" s="101"/>
      <c r="B45" s="101"/>
      <c r="C45" s="101"/>
      <c r="D45" s="161"/>
      <c r="E45" s="101"/>
    </row>
    <row r="46" spans="1:5" ht="15.75" hidden="1">
      <c r="A46" s="21" t="s">
        <v>128</v>
      </c>
      <c r="B46" s="4"/>
      <c r="C46" s="4"/>
      <c r="D46" s="153"/>
      <c r="E46" s="4"/>
    </row>
    <row r="47" spans="1:5" ht="15.75" hidden="1">
      <c r="A47" s="21"/>
      <c r="B47" s="4"/>
      <c r="C47" s="4"/>
      <c r="D47" s="153"/>
      <c r="E47" s="4"/>
    </row>
    <row r="48" spans="1:5" ht="192.75" customHeight="1" hidden="1">
      <c r="A48" s="345" t="s">
        <v>170</v>
      </c>
      <c r="B48" s="345"/>
      <c r="C48" s="345"/>
      <c r="D48" s="345"/>
      <c r="E48" s="345"/>
    </row>
    <row r="49" spans="1:5" ht="15.75" hidden="1">
      <c r="A49" s="100"/>
      <c r="B49" s="101"/>
      <c r="C49" s="101"/>
      <c r="D49" s="161"/>
      <c r="E49" s="101"/>
    </row>
    <row r="50" spans="1:5" ht="15" customHeight="1">
      <c r="A50" s="21" t="s">
        <v>115</v>
      </c>
      <c r="B50" s="15"/>
      <c r="C50" s="15"/>
      <c r="D50" s="162"/>
      <c r="E50" s="15"/>
    </row>
    <row r="51" spans="1:5" ht="81" customHeight="1">
      <c r="A51" s="346" t="s">
        <v>130</v>
      </c>
      <c r="B51" s="347"/>
      <c r="C51" s="347"/>
      <c r="D51" s="347"/>
      <c r="E51" s="347"/>
    </row>
    <row r="52" spans="1:5" ht="31.5" customHeight="1">
      <c r="A52" s="345" t="s">
        <v>356</v>
      </c>
      <c r="B52" s="349"/>
      <c r="C52" s="349"/>
      <c r="D52" s="349"/>
      <c r="E52" s="349"/>
    </row>
    <row r="53" spans="1:5" ht="15.75">
      <c r="A53" s="100"/>
      <c r="B53" s="101"/>
      <c r="C53" s="101"/>
      <c r="D53" s="161"/>
      <c r="E53" s="101"/>
    </row>
    <row r="54" spans="1:5" ht="15.75">
      <c r="A54" s="100"/>
      <c r="B54" s="101"/>
      <c r="C54" s="101"/>
      <c r="D54" s="161"/>
      <c r="E54" s="101"/>
    </row>
    <row r="55" spans="1:5" ht="15.75">
      <c r="A55" s="100"/>
      <c r="B55" s="101"/>
      <c r="C55" s="101"/>
      <c r="D55" s="161"/>
      <c r="E55" s="101"/>
    </row>
    <row r="56" spans="1:5" ht="15.75">
      <c r="A56" s="100"/>
      <c r="B56" s="101"/>
      <c r="C56" s="101"/>
      <c r="D56" s="161"/>
      <c r="E56" s="101"/>
    </row>
    <row r="57" spans="1:5" ht="15.75">
      <c r="A57" s="100"/>
      <c r="B57" s="101"/>
      <c r="C57" s="101"/>
      <c r="D57" s="161"/>
      <c r="E57" s="101"/>
    </row>
    <row r="58" spans="1:5" ht="15.75">
      <c r="A58" s="2" t="s">
        <v>168</v>
      </c>
      <c r="B58" s="24"/>
      <c r="C58" s="24"/>
      <c r="D58" s="348" t="s">
        <v>131</v>
      </c>
      <c r="E58" s="348"/>
    </row>
    <row r="59" spans="1:4" ht="15.75">
      <c r="A59" s="3" t="s">
        <v>169</v>
      </c>
      <c r="B59" s="2"/>
      <c r="D59" s="94" t="s">
        <v>129</v>
      </c>
    </row>
    <row r="60" spans="1:4" ht="15.75">
      <c r="A60" s="180" t="s">
        <v>368</v>
      </c>
      <c r="D60" s="180" t="s">
        <v>368</v>
      </c>
    </row>
  </sheetData>
  <sheetProtection/>
  <mergeCells count="13">
    <mergeCell ref="A48:E48"/>
    <mergeCell ref="A51:E51"/>
    <mergeCell ref="D58:E58"/>
    <mergeCell ref="A52:E52"/>
    <mergeCell ref="A1:E1"/>
    <mergeCell ref="A2:E2"/>
    <mergeCell ref="A3:E3"/>
    <mergeCell ref="A44:E44"/>
    <mergeCell ref="B5:C5"/>
    <mergeCell ref="D5:E5"/>
    <mergeCell ref="A5:A7"/>
    <mergeCell ref="D23:D24"/>
    <mergeCell ref="E23:E24"/>
  </mergeCells>
  <printOptions/>
  <pageMargins left="0.39" right="0.17" top="0.46" bottom="0.57" header="0.3" footer="0.3"/>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tabColor rgb="FFFFFF00"/>
  </sheetPr>
  <dimension ref="A1:K143"/>
  <sheetViews>
    <sheetView zoomScaleSheetLayoutView="100" zoomScalePageLayoutView="0" workbookViewId="0" topLeftCell="A1">
      <selection activeCell="D48" sqref="D48"/>
    </sheetView>
  </sheetViews>
  <sheetFormatPr defaultColWidth="9.140625" defaultRowHeight="15"/>
  <cols>
    <col min="1" max="1" width="40.57421875" style="3" customWidth="1"/>
    <col min="2" max="2" width="14.28125" style="3" customWidth="1"/>
    <col min="3" max="3" width="16.57421875" style="3" customWidth="1"/>
    <col min="4" max="4" width="14.00390625" style="3" bestFit="1" customWidth="1"/>
    <col min="5" max="5" width="16.7109375" style="3" customWidth="1"/>
    <col min="6" max="6" width="16.140625" style="3" customWidth="1"/>
    <col min="7" max="7" width="18.28125" style="3" customWidth="1"/>
    <col min="8" max="8" width="15.57421875" style="3" customWidth="1"/>
    <col min="9" max="9" width="24.57421875" style="3" customWidth="1"/>
    <col min="10" max="16384" width="9.140625" style="3" customWidth="1"/>
  </cols>
  <sheetData>
    <row r="1" spans="1:10" ht="15.75">
      <c r="A1" s="291" t="s">
        <v>21</v>
      </c>
      <c r="B1" s="292"/>
      <c r="C1" s="292"/>
      <c r="D1" s="292"/>
      <c r="E1" s="292"/>
      <c r="F1" s="182"/>
      <c r="G1" s="182"/>
      <c r="H1" s="182"/>
      <c r="I1" s="182"/>
      <c r="J1" s="4"/>
    </row>
    <row r="2" spans="1:10" ht="15.75">
      <c r="A2" s="294" t="s">
        <v>114</v>
      </c>
      <c r="B2" s="295"/>
      <c r="C2" s="295"/>
      <c r="D2" s="295"/>
      <c r="E2" s="295"/>
      <c r="F2" s="59"/>
      <c r="G2" s="59"/>
      <c r="H2" s="59"/>
      <c r="I2" s="59"/>
      <c r="J2" s="4"/>
    </row>
    <row r="3" spans="1:9" ht="15.75">
      <c r="A3" s="294" t="s">
        <v>323</v>
      </c>
      <c r="B3" s="295"/>
      <c r="C3" s="295"/>
      <c r="D3" s="295"/>
      <c r="E3" s="295"/>
      <c r="F3" s="59"/>
      <c r="G3" s="59"/>
      <c r="H3" s="59"/>
      <c r="I3" s="59"/>
    </row>
    <row r="4" spans="1:10" ht="15.75">
      <c r="A4" s="183"/>
      <c r="B4" s="59"/>
      <c r="C4" s="59"/>
      <c r="D4" s="59"/>
      <c r="E4" s="59"/>
      <c r="F4" s="59"/>
      <c r="G4" s="59"/>
      <c r="H4" s="59"/>
      <c r="I4" s="59"/>
      <c r="J4" s="4"/>
    </row>
    <row r="5" spans="1:5" s="94" customFormat="1" ht="15.75">
      <c r="A5" s="188" t="s">
        <v>84</v>
      </c>
      <c r="B5" s="188"/>
      <c r="C5" s="188"/>
      <c r="D5" s="188"/>
      <c r="E5" s="188"/>
    </row>
    <row r="6" spans="1:9" ht="15.75">
      <c r="A6" s="72" t="s">
        <v>189</v>
      </c>
      <c r="B6" s="69" t="s">
        <v>272</v>
      </c>
      <c r="C6" s="69" t="s">
        <v>273</v>
      </c>
      <c r="D6" s="69" t="s">
        <v>274</v>
      </c>
      <c r="E6" s="69" t="s">
        <v>82</v>
      </c>
      <c r="I6" s="4"/>
    </row>
    <row r="7" spans="1:9" ht="15.75">
      <c r="A7" s="73"/>
      <c r="B7" s="71"/>
      <c r="C7" s="71"/>
      <c r="D7" s="71"/>
      <c r="E7" s="71"/>
      <c r="I7" s="4"/>
    </row>
    <row r="8" spans="1:8" ht="15.75">
      <c r="A8" s="25" t="s">
        <v>85</v>
      </c>
      <c r="B8" s="26"/>
      <c r="C8" s="26"/>
      <c r="D8" s="26"/>
      <c r="E8" s="26"/>
      <c r="H8" s="4"/>
    </row>
    <row r="9" spans="1:5" ht="15.75">
      <c r="A9" s="26" t="s">
        <v>86</v>
      </c>
      <c r="B9" s="28">
        <f>8175029488/1000000</f>
        <v>8175.029488</v>
      </c>
      <c r="C9" s="28">
        <v>0</v>
      </c>
      <c r="D9" s="28">
        <v>0</v>
      </c>
      <c r="E9" s="28">
        <f aca="true" t="shared" si="0" ref="E9:E16">SUM(B9:D9)</f>
        <v>8175.029488</v>
      </c>
    </row>
    <row r="10" spans="1:5" ht="15.75">
      <c r="A10" s="26" t="s">
        <v>27</v>
      </c>
      <c r="B10" s="28">
        <f>157150506/1000000</f>
        <v>157.150506</v>
      </c>
      <c r="C10" s="28">
        <v>0</v>
      </c>
      <c r="D10" s="28">
        <v>0</v>
      </c>
      <c r="E10" s="28">
        <f t="shared" si="0"/>
        <v>157.150506</v>
      </c>
    </row>
    <row r="11" spans="1:5" ht="15.75">
      <c r="A11" s="26" t="s">
        <v>28</v>
      </c>
      <c r="B11" s="28">
        <v>0</v>
      </c>
      <c r="C11" s="28">
        <v>0</v>
      </c>
      <c r="D11" s="28">
        <v>0</v>
      </c>
      <c r="E11" s="28">
        <f t="shared" si="0"/>
        <v>0</v>
      </c>
    </row>
    <row r="12" spans="1:5" ht="15.75">
      <c r="A12" s="26" t="s">
        <v>29</v>
      </c>
      <c r="B12" s="28">
        <v>0</v>
      </c>
      <c r="C12" s="28">
        <v>0</v>
      </c>
      <c r="D12" s="28">
        <v>0</v>
      </c>
      <c r="E12" s="28">
        <f t="shared" si="0"/>
        <v>0</v>
      </c>
    </row>
    <row r="13" spans="1:5" ht="15.75">
      <c r="A13" s="26" t="s">
        <v>269</v>
      </c>
      <c r="B13" s="28">
        <f>7993868140/1000000</f>
        <v>7993.86814</v>
      </c>
      <c r="C13" s="28">
        <v>0</v>
      </c>
      <c r="D13" s="28">
        <v>0</v>
      </c>
      <c r="E13" s="28">
        <f t="shared" si="0"/>
        <v>7993.86814</v>
      </c>
    </row>
    <row r="14" spans="1:5" ht="15.75">
      <c r="A14" s="26" t="s">
        <v>270</v>
      </c>
      <c r="B14" s="28">
        <f>15308791897/1000000</f>
        <v>15308.791897</v>
      </c>
      <c r="C14" s="28">
        <v>0</v>
      </c>
      <c r="D14" s="28">
        <v>0</v>
      </c>
      <c r="E14" s="28">
        <f t="shared" si="0"/>
        <v>15308.791897</v>
      </c>
    </row>
    <row r="15" spans="1:5" ht="15.75">
      <c r="A15" s="26" t="s">
        <v>271</v>
      </c>
      <c r="B15" s="28">
        <v>0</v>
      </c>
      <c r="C15" s="28">
        <v>0</v>
      </c>
      <c r="D15" s="28">
        <f>2040001/1000000</f>
        <v>2.040001</v>
      </c>
      <c r="E15" s="28">
        <f t="shared" si="0"/>
        <v>2.040001</v>
      </c>
    </row>
    <row r="16" spans="1:5" ht="15.75">
      <c r="A16" s="26" t="s">
        <v>197</v>
      </c>
      <c r="B16" s="28">
        <v>0</v>
      </c>
      <c r="C16" s="28">
        <v>0</v>
      </c>
      <c r="D16" s="28">
        <v>0</v>
      </c>
      <c r="E16" s="28">
        <f t="shared" si="0"/>
        <v>0</v>
      </c>
    </row>
    <row r="17" spans="1:5" s="2" customFormat="1" ht="15.75">
      <c r="A17" s="25" t="s">
        <v>87</v>
      </c>
      <c r="B17" s="29">
        <f>SUM(B9:B16)</f>
        <v>31634.840031</v>
      </c>
      <c r="C17" s="29">
        <f>SUM(C9:C16)</f>
        <v>0</v>
      </c>
      <c r="D17" s="29">
        <f>SUM(D9:D16)</f>
        <v>2.040001</v>
      </c>
      <c r="E17" s="29">
        <f>SUM(E9:E16)</f>
        <v>31636.880032</v>
      </c>
    </row>
    <row r="18" spans="1:10" ht="15.75">
      <c r="A18" s="82"/>
      <c r="B18" s="83"/>
      <c r="C18" s="83"/>
      <c r="D18" s="83"/>
      <c r="E18" s="83"/>
      <c r="F18" s="83"/>
      <c r="G18" s="83"/>
      <c r="H18" s="83"/>
      <c r="I18" s="83"/>
      <c r="J18" s="4"/>
    </row>
    <row r="19" spans="1:4" ht="15.75">
      <c r="A19" s="72" t="s">
        <v>189</v>
      </c>
      <c r="B19" s="69" t="s">
        <v>272</v>
      </c>
      <c r="C19" s="69" t="s">
        <v>273</v>
      </c>
      <c r="D19" s="69" t="s">
        <v>82</v>
      </c>
    </row>
    <row r="20" spans="1:4" ht="15.75">
      <c r="A20" s="73"/>
      <c r="B20" s="71"/>
      <c r="C20" s="71"/>
      <c r="D20" s="71"/>
    </row>
    <row r="21" spans="1:4" ht="15.75">
      <c r="A21" s="25" t="s">
        <v>88</v>
      </c>
      <c r="B21" s="56"/>
      <c r="C21" s="26"/>
      <c r="D21" s="26"/>
    </row>
    <row r="22" spans="1:4" ht="15.75">
      <c r="A22" s="26" t="s">
        <v>37</v>
      </c>
      <c r="B22" s="84">
        <f>19357350253/1000000</f>
        <v>19357.350253</v>
      </c>
      <c r="C22" s="28">
        <v>0</v>
      </c>
      <c r="D22" s="28">
        <f aca="true" t="shared" si="1" ref="D22:D29">SUM(B22:C22)</f>
        <v>19357.350253</v>
      </c>
    </row>
    <row r="23" spans="1:11" ht="15.75">
      <c r="A23" s="26" t="s">
        <v>29</v>
      </c>
      <c r="B23" s="84">
        <v>0</v>
      </c>
      <c r="C23" s="28">
        <v>0</v>
      </c>
      <c r="D23" s="28">
        <f t="shared" si="1"/>
        <v>0</v>
      </c>
      <c r="K23" s="4"/>
    </row>
    <row r="24" spans="1:4" ht="15.75">
      <c r="A24" s="26" t="s">
        <v>279</v>
      </c>
      <c r="B24" s="84"/>
      <c r="C24" s="28"/>
      <c r="D24" s="28"/>
    </row>
    <row r="25" spans="1:4" ht="15.75">
      <c r="A25" s="26" t="s">
        <v>280</v>
      </c>
      <c r="B25" s="84">
        <f>2785417592/1000000</f>
        <v>2785.417592</v>
      </c>
      <c r="C25" s="28">
        <v>0</v>
      </c>
      <c r="D25" s="28">
        <f t="shared" si="1"/>
        <v>2785.417592</v>
      </c>
    </row>
    <row r="26" spans="1:4" ht="15.75">
      <c r="A26" s="26" t="s">
        <v>281</v>
      </c>
      <c r="B26" s="84">
        <f>+'FINANCIAL POSITION'!B39</f>
        <v>0</v>
      </c>
      <c r="C26" s="28">
        <v>0</v>
      </c>
      <c r="D26" s="28">
        <f t="shared" si="1"/>
        <v>0</v>
      </c>
    </row>
    <row r="27" spans="1:4" ht="15.75">
      <c r="A27" s="26" t="s">
        <v>282</v>
      </c>
      <c r="B27" s="84">
        <v>0</v>
      </c>
      <c r="C27" s="28">
        <v>0</v>
      </c>
      <c r="D27" s="28">
        <f t="shared" si="1"/>
        <v>0</v>
      </c>
    </row>
    <row r="28" spans="1:4" ht="15.75">
      <c r="A28" s="26" t="s">
        <v>89</v>
      </c>
      <c r="B28" s="84">
        <v>0</v>
      </c>
      <c r="C28" s="28">
        <v>0</v>
      </c>
      <c r="D28" s="28">
        <f t="shared" si="1"/>
        <v>0</v>
      </c>
    </row>
    <row r="29" spans="1:4" ht="15.75">
      <c r="A29" s="25" t="s">
        <v>90</v>
      </c>
      <c r="B29" s="85">
        <f>SUM(B22:B28)</f>
        <v>22142.767845000002</v>
      </c>
      <c r="C29" s="85">
        <f>SUM(C22:C28)</f>
        <v>0</v>
      </c>
      <c r="D29" s="29">
        <f t="shared" si="1"/>
        <v>22142.767845000002</v>
      </c>
    </row>
    <row r="30" spans="1:9" s="30" customFormat="1" ht="15.75">
      <c r="A30" s="48" t="s">
        <v>277</v>
      </c>
      <c r="B30" s="55"/>
      <c r="C30" s="55"/>
      <c r="D30" s="55"/>
      <c r="E30" s="55"/>
      <c r="F30" s="55"/>
      <c r="G30" s="55"/>
      <c r="H30" s="55"/>
      <c r="I30" s="55"/>
    </row>
    <row r="31" spans="1:9" s="30" customFormat="1" ht="15.75">
      <c r="A31" s="48" t="s">
        <v>276</v>
      </c>
      <c r="B31" s="55"/>
      <c r="C31" s="55"/>
      <c r="D31" s="55"/>
      <c r="E31" s="55"/>
      <c r="F31" s="55"/>
      <c r="G31" s="55"/>
      <c r="H31" s="55"/>
      <c r="I31" s="55"/>
    </row>
    <row r="32" spans="1:9" s="30" customFormat="1" ht="15.75">
      <c r="A32" s="48" t="s">
        <v>275</v>
      </c>
      <c r="B32" s="55"/>
      <c r="C32" s="55"/>
      <c r="D32" s="55"/>
      <c r="E32" s="55"/>
      <c r="F32" s="55"/>
      <c r="G32" s="55"/>
      <c r="H32" s="55"/>
      <c r="I32" s="55"/>
    </row>
    <row r="33" spans="1:9" s="30" customFormat="1" ht="15.75">
      <c r="A33" s="48"/>
      <c r="B33" s="55"/>
      <c r="C33" s="55"/>
      <c r="D33" s="55"/>
      <c r="E33" s="55"/>
      <c r="F33" s="55"/>
      <c r="G33" s="55"/>
      <c r="H33" s="55"/>
      <c r="I33" s="55"/>
    </row>
    <row r="34" spans="1:10" s="30" customFormat="1" ht="15.75">
      <c r="A34" s="295" t="s">
        <v>21</v>
      </c>
      <c r="B34" s="295"/>
      <c r="C34" s="295"/>
      <c r="D34" s="295"/>
      <c r="E34" s="295"/>
      <c r="F34" s="59"/>
      <c r="G34" s="59"/>
      <c r="H34" s="59"/>
      <c r="I34" s="59"/>
      <c r="J34" s="55"/>
    </row>
    <row r="35" spans="1:10" s="30" customFormat="1" ht="15.75">
      <c r="A35" s="295" t="s">
        <v>91</v>
      </c>
      <c r="B35" s="295"/>
      <c r="C35" s="295"/>
      <c r="D35" s="295"/>
      <c r="E35" s="295"/>
      <c r="F35" s="59"/>
      <c r="G35" s="59"/>
      <c r="H35" s="59"/>
      <c r="I35" s="59"/>
      <c r="J35" s="55"/>
    </row>
    <row r="36" spans="1:10" s="30" customFormat="1" ht="15.75">
      <c r="A36" s="295" t="s">
        <v>164</v>
      </c>
      <c r="B36" s="295"/>
      <c r="C36" s="295"/>
      <c r="D36" s="295"/>
      <c r="E36" s="295"/>
      <c r="F36" s="59"/>
      <c r="G36" s="59"/>
      <c r="H36" s="59"/>
      <c r="I36" s="59"/>
      <c r="J36" s="55"/>
    </row>
    <row r="37" s="295" customFormat="1" ht="15.75"/>
    <row r="38" spans="1:5" s="94" customFormat="1" ht="15.75">
      <c r="A38" s="188" t="s">
        <v>123</v>
      </c>
      <c r="B38" s="188"/>
      <c r="C38" s="188"/>
      <c r="D38" s="188"/>
      <c r="E38" s="188"/>
    </row>
    <row r="39" spans="1:5" ht="15.75">
      <c r="A39" s="72" t="s">
        <v>189</v>
      </c>
      <c r="B39" s="69" t="s">
        <v>272</v>
      </c>
      <c r="C39" s="69" t="s">
        <v>273</v>
      </c>
      <c r="D39" s="69" t="s">
        <v>274</v>
      </c>
      <c r="E39" s="69" t="s">
        <v>82</v>
      </c>
    </row>
    <row r="40" spans="1:5" ht="15.75">
      <c r="A40" s="43"/>
      <c r="B40" s="70"/>
      <c r="C40" s="70"/>
      <c r="D40" s="70"/>
      <c r="E40" s="70"/>
    </row>
    <row r="41" spans="1:5" ht="15.75">
      <c r="A41" s="25" t="s">
        <v>85</v>
      </c>
      <c r="B41" s="26"/>
      <c r="C41" s="28"/>
      <c r="D41" s="28"/>
      <c r="E41" s="28"/>
    </row>
    <row r="42" spans="1:5" ht="15.75">
      <c r="A42" s="26" t="s">
        <v>86</v>
      </c>
      <c r="B42" s="28">
        <f>851086337/1000000</f>
        <v>851.086337</v>
      </c>
      <c r="C42" s="28">
        <v>0</v>
      </c>
      <c r="D42" s="28">
        <v>0</v>
      </c>
      <c r="E42" s="28">
        <f>SUM(B42:D42)</f>
        <v>851.086337</v>
      </c>
    </row>
    <row r="43" spans="1:5" ht="15.75">
      <c r="A43" s="26" t="s">
        <v>27</v>
      </c>
      <c r="B43" s="28">
        <f>161330398/1000000</f>
        <v>161.330398</v>
      </c>
      <c r="C43" s="28">
        <v>0</v>
      </c>
      <c r="D43" s="28">
        <v>0</v>
      </c>
      <c r="E43" s="28">
        <f aca="true" t="shared" si="2" ref="E43:E50">SUM(B43:D43)</f>
        <v>161.330398</v>
      </c>
    </row>
    <row r="44" spans="1:5" ht="15.75">
      <c r="A44" s="26" t="s">
        <v>28</v>
      </c>
      <c r="B44" s="28">
        <v>0</v>
      </c>
      <c r="C44" s="28">
        <v>0</v>
      </c>
      <c r="D44" s="28">
        <v>0</v>
      </c>
      <c r="E44" s="28">
        <f t="shared" si="2"/>
        <v>0</v>
      </c>
    </row>
    <row r="45" spans="1:5" ht="15.75">
      <c r="A45" s="26" t="s">
        <v>29</v>
      </c>
      <c r="B45" s="28">
        <v>0</v>
      </c>
      <c r="C45" s="28">
        <v>0</v>
      </c>
      <c r="D45" s="28">
        <v>0</v>
      </c>
      <c r="E45" s="28">
        <f t="shared" si="2"/>
        <v>0</v>
      </c>
    </row>
    <row r="46" spans="1:5" ht="15.75">
      <c r="A46" s="26" t="s">
        <v>269</v>
      </c>
      <c r="B46" s="28">
        <f>5095691199/1000000</f>
        <v>5095.691199</v>
      </c>
      <c r="C46" s="28">
        <v>0</v>
      </c>
      <c r="D46" s="28">
        <v>0</v>
      </c>
      <c r="E46" s="28">
        <f t="shared" si="2"/>
        <v>5095.691199</v>
      </c>
    </row>
    <row r="47" spans="1:5" ht="15.75">
      <c r="A47" s="26" t="s">
        <v>270</v>
      </c>
      <c r="B47" s="28">
        <f>24687713959/1000000</f>
        <v>24687.713959</v>
      </c>
      <c r="C47" s="28">
        <v>0</v>
      </c>
      <c r="D47" s="28">
        <v>0</v>
      </c>
      <c r="E47" s="28">
        <f t="shared" si="2"/>
        <v>24687.713959</v>
      </c>
    </row>
    <row r="48" spans="1:5" ht="15.75">
      <c r="A48" s="26" t="s">
        <v>271</v>
      </c>
      <c r="B48" s="28">
        <v>0</v>
      </c>
      <c r="C48" s="28">
        <v>0</v>
      </c>
      <c r="D48" s="28">
        <f>2040001/1000000</f>
        <v>2.040001</v>
      </c>
      <c r="E48" s="28">
        <f t="shared" si="2"/>
        <v>2.040001</v>
      </c>
    </row>
    <row r="49" spans="1:5" ht="15.75">
      <c r="A49" s="26" t="s">
        <v>197</v>
      </c>
      <c r="B49" s="28">
        <v>0</v>
      </c>
      <c r="C49" s="28">
        <v>0</v>
      </c>
      <c r="D49" s="28">
        <v>0</v>
      </c>
      <c r="E49" s="28">
        <f t="shared" si="2"/>
        <v>0</v>
      </c>
    </row>
    <row r="50" spans="1:5" s="2" customFormat="1" ht="15.75">
      <c r="A50" s="25" t="s">
        <v>87</v>
      </c>
      <c r="B50" s="29">
        <v>36650176</v>
      </c>
      <c r="C50" s="29">
        <v>2040</v>
      </c>
      <c r="D50" s="29">
        <v>0</v>
      </c>
      <c r="E50" s="29">
        <f t="shared" si="2"/>
        <v>36652216</v>
      </c>
    </row>
    <row r="51" spans="1:10" ht="15.75">
      <c r="A51" s="82"/>
      <c r="B51" s="83"/>
      <c r="C51" s="83"/>
      <c r="D51" s="83"/>
      <c r="E51" s="83"/>
      <c r="F51" s="83"/>
      <c r="G51" s="83"/>
      <c r="H51" s="83"/>
      <c r="I51" s="83"/>
      <c r="J51" s="4"/>
    </row>
    <row r="52" spans="1:4" ht="15.75">
      <c r="A52" s="72" t="s">
        <v>278</v>
      </c>
      <c r="B52" s="69" t="s">
        <v>272</v>
      </c>
      <c r="C52" s="69" t="s">
        <v>273</v>
      </c>
      <c r="D52" s="69" t="s">
        <v>82</v>
      </c>
    </row>
    <row r="53" spans="1:4" ht="15.75">
      <c r="A53" s="43"/>
      <c r="B53" s="70"/>
      <c r="C53" s="70"/>
      <c r="D53" s="70"/>
    </row>
    <row r="54" spans="1:4" ht="15.75">
      <c r="A54" s="25" t="s">
        <v>88</v>
      </c>
      <c r="B54" s="93"/>
      <c r="C54" s="26"/>
      <c r="D54" s="26"/>
    </row>
    <row r="55" spans="1:4" ht="15.75">
      <c r="A55" s="26" t="s">
        <v>37</v>
      </c>
      <c r="B55" s="84">
        <f>2288494500/1000000</f>
        <v>2288.4945</v>
      </c>
      <c r="C55" s="28">
        <v>0</v>
      </c>
      <c r="D55" s="28">
        <f>SUM(B55:C55)</f>
        <v>2288.4945</v>
      </c>
    </row>
    <row r="56" spans="1:4" ht="15.75">
      <c r="A56" s="26" t="s">
        <v>29</v>
      </c>
      <c r="B56" s="84">
        <v>0</v>
      </c>
      <c r="C56" s="28">
        <v>0</v>
      </c>
      <c r="D56" s="28">
        <f aca="true" t="shared" si="3" ref="D56:D62">SUM(B56:C56)</f>
        <v>0</v>
      </c>
    </row>
    <row r="57" spans="1:4" ht="15.75">
      <c r="A57" s="26" t="s">
        <v>279</v>
      </c>
      <c r="B57" s="84"/>
      <c r="C57" s="28"/>
      <c r="D57" s="28">
        <f t="shared" si="3"/>
        <v>0</v>
      </c>
    </row>
    <row r="58" spans="1:4" ht="15.75">
      <c r="A58" s="26" t="s">
        <v>280</v>
      </c>
      <c r="B58" s="84">
        <f>309933618/1000000</f>
        <v>309.933618</v>
      </c>
      <c r="C58" s="28">
        <v>0</v>
      </c>
      <c r="D58" s="28">
        <f t="shared" si="3"/>
        <v>309.933618</v>
      </c>
    </row>
    <row r="59" spans="1:4" ht="15.75">
      <c r="A59" s="26" t="s">
        <v>281</v>
      </c>
      <c r="B59" s="84">
        <f>+'FINANCIAL POSITION'!B72</f>
        <v>0</v>
      </c>
      <c r="C59" s="28">
        <v>0</v>
      </c>
      <c r="D59" s="28">
        <f t="shared" si="3"/>
        <v>0</v>
      </c>
    </row>
    <row r="60" spans="1:4" ht="15.75">
      <c r="A60" s="26" t="s">
        <v>282</v>
      </c>
      <c r="B60" s="84">
        <v>0</v>
      </c>
      <c r="C60" s="28">
        <v>0</v>
      </c>
      <c r="D60" s="28">
        <f t="shared" si="3"/>
        <v>0</v>
      </c>
    </row>
    <row r="61" spans="1:4" ht="15.75">
      <c r="A61" s="26" t="s">
        <v>89</v>
      </c>
      <c r="B61" s="84">
        <v>0</v>
      </c>
      <c r="C61" s="28">
        <v>0</v>
      </c>
      <c r="D61" s="28">
        <f t="shared" si="3"/>
        <v>0</v>
      </c>
    </row>
    <row r="62" spans="1:4" ht="15.75">
      <c r="A62" s="25" t="s">
        <v>90</v>
      </c>
      <c r="B62" s="124">
        <v>32481588</v>
      </c>
      <c r="C62" s="29">
        <v>0</v>
      </c>
      <c r="D62" s="29">
        <f t="shared" si="3"/>
        <v>32481588</v>
      </c>
    </row>
    <row r="63" spans="1:9" s="30" customFormat="1" ht="15.75">
      <c r="A63" s="48" t="s">
        <v>277</v>
      </c>
      <c r="B63" s="55"/>
      <c r="C63" s="55"/>
      <c r="D63" s="55"/>
      <c r="E63" s="55"/>
      <c r="F63" s="55"/>
      <c r="G63" s="55"/>
      <c r="H63" s="55"/>
      <c r="I63" s="55"/>
    </row>
    <row r="64" spans="1:9" s="30" customFormat="1" ht="15.75">
      <c r="A64" s="48" t="s">
        <v>276</v>
      </c>
      <c r="B64" s="55"/>
      <c r="C64" s="55"/>
      <c r="D64" s="55"/>
      <c r="E64" s="55"/>
      <c r="F64" s="55"/>
      <c r="G64" s="55"/>
      <c r="H64" s="55"/>
      <c r="I64" s="55"/>
    </row>
    <row r="65" spans="1:9" s="30" customFormat="1" ht="15.75">
      <c r="A65" s="48" t="s">
        <v>275</v>
      </c>
      <c r="B65" s="55"/>
      <c r="C65" s="55"/>
      <c r="D65" s="55"/>
      <c r="E65" s="55"/>
      <c r="F65" s="55"/>
      <c r="G65" s="55"/>
      <c r="H65" s="55"/>
      <c r="I65" s="55"/>
    </row>
    <row r="66" s="55" customFormat="1" ht="15.75"/>
    <row r="67" spans="1:9" s="55" customFormat="1" ht="15.75">
      <c r="A67" s="362" t="s">
        <v>21</v>
      </c>
      <c r="B67" s="362"/>
      <c r="C67" s="362"/>
      <c r="D67" s="362"/>
      <c r="E67" s="362"/>
      <c r="F67" s="184"/>
      <c r="G67" s="184"/>
      <c r="H67" s="184"/>
      <c r="I67" s="184"/>
    </row>
    <row r="68" spans="1:9" s="55" customFormat="1" ht="15.75">
      <c r="A68" s="362" t="s">
        <v>114</v>
      </c>
      <c r="B68" s="362"/>
      <c r="C68" s="362"/>
      <c r="D68" s="362"/>
      <c r="E68" s="362"/>
      <c r="F68" s="184"/>
      <c r="G68" s="184"/>
      <c r="H68" s="184"/>
      <c r="I68" s="184"/>
    </row>
    <row r="69" spans="1:9" s="153" customFormat="1" ht="15.75">
      <c r="A69" s="361" t="s">
        <v>164</v>
      </c>
      <c r="B69" s="362"/>
      <c r="C69" s="362"/>
      <c r="D69" s="362"/>
      <c r="E69" s="362"/>
      <c r="F69" s="185"/>
      <c r="G69" s="185"/>
      <c r="H69" s="185"/>
      <c r="I69" s="185"/>
    </row>
    <row r="70" spans="1:9" s="55" customFormat="1" ht="15.75">
      <c r="A70" s="359"/>
      <c r="B70" s="360"/>
      <c r="C70" s="360"/>
      <c r="D70" s="360"/>
      <c r="E70" s="360"/>
      <c r="F70" s="360"/>
      <c r="G70" s="360"/>
      <c r="H70" s="360"/>
      <c r="I70" s="360"/>
    </row>
    <row r="71" spans="1:5" s="4" customFormat="1" ht="15.75">
      <c r="A71" s="188" t="s">
        <v>132</v>
      </c>
      <c r="B71" s="188"/>
      <c r="C71" s="188"/>
      <c r="D71" s="188"/>
      <c r="E71" s="188"/>
    </row>
    <row r="72" spans="1:5" s="4" customFormat="1" ht="15.75">
      <c r="A72" s="110" t="s">
        <v>278</v>
      </c>
      <c r="B72" s="69" t="s">
        <v>272</v>
      </c>
      <c r="C72" s="69" t="s">
        <v>273</v>
      </c>
      <c r="D72" s="69" t="s">
        <v>274</v>
      </c>
      <c r="E72" s="69" t="s">
        <v>82</v>
      </c>
    </row>
    <row r="73" spans="1:5" s="4" customFormat="1" ht="15.75">
      <c r="A73" s="111"/>
      <c r="B73" s="112"/>
      <c r="C73" s="112"/>
      <c r="D73" s="112"/>
      <c r="E73" s="112"/>
    </row>
    <row r="74" spans="1:5" s="4" customFormat="1" ht="15.75">
      <c r="A74" s="25" t="s">
        <v>85</v>
      </c>
      <c r="B74" s="26"/>
      <c r="C74" s="26"/>
      <c r="D74" s="26"/>
      <c r="E74" s="26"/>
    </row>
    <row r="75" spans="1:5" s="4" customFormat="1" ht="15.75">
      <c r="A75" s="26" t="s">
        <v>86</v>
      </c>
      <c r="B75" s="102"/>
      <c r="C75" s="102"/>
      <c r="D75" s="102"/>
      <c r="E75" s="102">
        <f aca="true" t="shared" si="4" ref="E75:E82">SUM(B75:D75)</f>
        <v>0</v>
      </c>
    </row>
    <row r="76" spans="1:5" s="4" customFormat="1" ht="15.75">
      <c r="A76" s="26" t="s">
        <v>27</v>
      </c>
      <c r="B76" s="102"/>
      <c r="C76" s="102"/>
      <c r="D76" s="102"/>
      <c r="E76" s="102">
        <f t="shared" si="4"/>
        <v>0</v>
      </c>
    </row>
    <row r="77" spans="1:5" s="4" customFormat="1" ht="15.75">
      <c r="A77" s="26" t="s">
        <v>28</v>
      </c>
      <c r="B77" s="102"/>
      <c r="C77" s="102"/>
      <c r="D77" s="102"/>
      <c r="E77" s="102">
        <f t="shared" si="4"/>
        <v>0</v>
      </c>
    </row>
    <row r="78" spans="1:5" s="4" customFormat="1" ht="15.75">
      <c r="A78" s="26" t="s">
        <v>29</v>
      </c>
      <c r="B78" s="102"/>
      <c r="C78" s="102"/>
      <c r="D78" s="102"/>
      <c r="E78" s="102">
        <f t="shared" si="4"/>
        <v>0</v>
      </c>
    </row>
    <row r="79" spans="1:5" s="4" customFormat="1" ht="15.75">
      <c r="A79" s="26" t="s">
        <v>269</v>
      </c>
      <c r="B79" s="102"/>
      <c r="C79" s="102"/>
      <c r="D79" s="102"/>
      <c r="E79" s="102">
        <f t="shared" si="4"/>
        <v>0</v>
      </c>
    </row>
    <row r="80" spans="1:5" s="4" customFormat="1" ht="15.75">
      <c r="A80" s="26" t="s">
        <v>270</v>
      </c>
      <c r="B80" s="102"/>
      <c r="C80" s="102"/>
      <c r="D80" s="102"/>
      <c r="E80" s="102">
        <f t="shared" si="4"/>
        <v>0</v>
      </c>
    </row>
    <row r="81" spans="1:5" s="4" customFormat="1" ht="15.75">
      <c r="A81" s="26" t="s">
        <v>271</v>
      </c>
      <c r="B81" s="102"/>
      <c r="C81" s="102"/>
      <c r="D81" s="102"/>
      <c r="E81" s="102">
        <f t="shared" si="4"/>
        <v>0</v>
      </c>
    </row>
    <row r="82" spans="1:5" s="4" customFormat="1" ht="15.75">
      <c r="A82" s="26" t="s">
        <v>197</v>
      </c>
      <c r="B82" s="102"/>
      <c r="C82" s="102"/>
      <c r="D82" s="102"/>
      <c r="E82" s="102">
        <f t="shared" si="4"/>
        <v>0</v>
      </c>
    </row>
    <row r="83" spans="1:5" s="5" customFormat="1" ht="15.75">
      <c r="A83" s="25" t="s">
        <v>87</v>
      </c>
      <c r="B83" s="126"/>
      <c r="C83" s="126"/>
      <c r="D83" s="126"/>
      <c r="E83" s="126">
        <f>SUM(E75:E82)</f>
        <v>0</v>
      </c>
    </row>
    <row r="84" spans="1:9" s="4" customFormat="1" ht="15.75">
      <c r="A84" s="82"/>
      <c r="B84" s="114"/>
      <c r="C84" s="114"/>
      <c r="D84" s="114"/>
      <c r="E84" s="114"/>
      <c r="F84" s="114"/>
      <c r="G84" s="114"/>
      <c r="H84" s="114"/>
      <c r="I84" s="114"/>
    </row>
    <row r="85" spans="1:4" s="4" customFormat="1" ht="15.75">
      <c r="A85" s="110" t="s">
        <v>278</v>
      </c>
      <c r="B85" s="69" t="s">
        <v>272</v>
      </c>
      <c r="C85" s="69" t="s">
        <v>273</v>
      </c>
      <c r="D85" s="69" t="s">
        <v>82</v>
      </c>
    </row>
    <row r="86" spans="1:4" s="4" customFormat="1" ht="15.75">
      <c r="A86" s="111"/>
      <c r="B86" s="112"/>
      <c r="C86" s="112"/>
      <c r="D86" s="112"/>
    </row>
    <row r="87" spans="1:4" s="4" customFormat="1" ht="15.75">
      <c r="A87" s="26" t="s">
        <v>37</v>
      </c>
      <c r="B87" s="74"/>
      <c r="C87" s="74"/>
      <c r="D87" s="102">
        <f aca="true" t="shared" si="5" ref="D87:D94">SUM(B87:C87)</f>
        <v>0</v>
      </c>
    </row>
    <row r="88" spans="1:4" s="4" customFormat="1" ht="15.75">
      <c r="A88" s="26" t="s">
        <v>29</v>
      </c>
      <c r="B88" s="74"/>
      <c r="C88" s="74"/>
      <c r="D88" s="102">
        <f t="shared" si="5"/>
        <v>0</v>
      </c>
    </row>
    <row r="89" spans="1:4" s="4" customFormat="1" ht="15.75">
      <c r="A89" s="26" t="s">
        <v>279</v>
      </c>
      <c r="B89" s="74"/>
      <c r="C89" s="74"/>
      <c r="D89" s="102">
        <f t="shared" si="5"/>
        <v>0</v>
      </c>
    </row>
    <row r="90" spans="1:4" s="4" customFormat="1" ht="15.75">
      <c r="A90" s="26" t="s">
        <v>280</v>
      </c>
      <c r="B90" s="74"/>
      <c r="C90" s="74"/>
      <c r="D90" s="102">
        <f t="shared" si="5"/>
        <v>0</v>
      </c>
    </row>
    <row r="91" spans="1:4" s="4" customFormat="1" ht="15.75">
      <c r="A91" s="26" t="s">
        <v>281</v>
      </c>
      <c r="B91" s="74"/>
      <c r="C91" s="74"/>
      <c r="D91" s="102">
        <f t="shared" si="5"/>
        <v>0</v>
      </c>
    </row>
    <row r="92" spans="1:4" s="4" customFormat="1" ht="15.75">
      <c r="A92" s="26" t="s">
        <v>282</v>
      </c>
      <c r="B92" s="74"/>
      <c r="C92" s="74"/>
      <c r="D92" s="102">
        <f t="shared" si="5"/>
        <v>0</v>
      </c>
    </row>
    <row r="93" spans="1:4" s="4" customFormat="1" ht="15.75">
      <c r="A93" s="26" t="s">
        <v>89</v>
      </c>
      <c r="B93" s="74"/>
      <c r="C93" s="74"/>
      <c r="D93" s="102">
        <f t="shared" si="5"/>
        <v>0</v>
      </c>
    </row>
    <row r="94" spans="1:4" s="4" customFormat="1" ht="15.75">
      <c r="A94" s="25" t="s">
        <v>90</v>
      </c>
      <c r="B94" s="31"/>
      <c r="C94" s="31"/>
      <c r="D94" s="113">
        <f t="shared" si="5"/>
        <v>0</v>
      </c>
    </row>
    <row r="95" spans="1:9" s="30" customFormat="1" ht="15.75">
      <c r="A95" s="48" t="s">
        <v>277</v>
      </c>
      <c r="B95" s="55"/>
      <c r="C95" s="55"/>
      <c r="D95" s="55"/>
      <c r="E95" s="55"/>
      <c r="F95" s="55"/>
      <c r="G95" s="55"/>
      <c r="H95" s="55"/>
      <c r="I95" s="55"/>
    </row>
    <row r="96" spans="1:9" s="30" customFormat="1" ht="15.75">
      <c r="A96" s="48" t="s">
        <v>276</v>
      </c>
      <c r="B96" s="55"/>
      <c r="C96" s="55"/>
      <c r="D96" s="55"/>
      <c r="E96" s="55"/>
      <c r="F96" s="55"/>
      <c r="G96" s="55"/>
      <c r="H96" s="55"/>
      <c r="I96" s="55"/>
    </row>
    <row r="97" spans="1:9" s="30" customFormat="1" ht="15.75">
      <c r="A97" s="48" t="s">
        <v>275</v>
      </c>
      <c r="B97" s="55"/>
      <c r="C97" s="55"/>
      <c r="D97" s="55"/>
      <c r="E97" s="55"/>
      <c r="F97" s="55"/>
      <c r="G97" s="55"/>
      <c r="H97" s="55"/>
      <c r="I97" s="55"/>
    </row>
    <row r="98" spans="1:9" s="55" customFormat="1" ht="12.75" customHeight="1">
      <c r="A98" s="115"/>
      <c r="B98" s="116"/>
      <c r="C98" s="116"/>
      <c r="D98" s="116"/>
      <c r="E98" s="116"/>
      <c r="F98" s="116"/>
      <c r="G98" s="116"/>
      <c r="H98" s="116"/>
      <c r="I98" s="116"/>
    </row>
    <row r="99" spans="1:9" s="55" customFormat="1" ht="15.75">
      <c r="A99" s="361" t="s">
        <v>21</v>
      </c>
      <c r="B99" s="362"/>
      <c r="C99" s="362"/>
      <c r="D99" s="362"/>
      <c r="E99" s="362"/>
      <c r="F99" s="184"/>
      <c r="G99" s="184"/>
      <c r="H99" s="184"/>
      <c r="I99" s="184"/>
    </row>
    <row r="100" spans="1:9" s="55" customFormat="1" ht="15.75">
      <c r="A100" s="361" t="s">
        <v>114</v>
      </c>
      <c r="B100" s="362"/>
      <c r="C100" s="362"/>
      <c r="D100" s="362"/>
      <c r="E100" s="362"/>
      <c r="F100" s="184"/>
      <c r="G100" s="184"/>
      <c r="H100" s="184"/>
      <c r="I100" s="184"/>
    </row>
    <row r="101" spans="1:9" s="55" customFormat="1" ht="15.75">
      <c r="A101" s="361" t="s">
        <v>161</v>
      </c>
      <c r="B101" s="362"/>
      <c r="C101" s="362"/>
      <c r="D101" s="362"/>
      <c r="E101" s="362"/>
      <c r="F101" s="184"/>
      <c r="G101" s="184"/>
      <c r="H101" s="184"/>
      <c r="I101" s="184"/>
    </row>
    <row r="102" spans="1:9" s="55" customFormat="1" ht="15.75">
      <c r="A102" s="186"/>
      <c r="B102" s="187"/>
      <c r="C102" s="187"/>
      <c r="D102" s="187"/>
      <c r="E102" s="187"/>
      <c r="F102" s="184"/>
      <c r="G102" s="184"/>
      <c r="H102" s="184"/>
      <c r="I102" s="184"/>
    </row>
    <row r="103" spans="1:5" s="4" customFormat="1" ht="15.75">
      <c r="A103" s="188" t="s">
        <v>165</v>
      </c>
      <c r="B103" s="188"/>
      <c r="C103" s="188"/>
      <c r="D103" s="188"/>
      <c r="E103" s="188"/>
    </row>
    <row r="104" spans="1:5" s="4" customFormat="1" ht="15.75">
      <c r="A104" s="189" t="s">
        <v>278</v>
      </c>
      <c r="B104" s="190" t="s">
        <v>272</v>
      </c>
      <c r="C104" s="190" t="s">
        <v>273</v>
      </c>
      <c r="D104" s="190" t="s">
        <v>274</v>
      </c>
      <c r="E104" s="190" t="s">
        <v>82</v>
      </c>
    </row>
    <row r="105" spans="1:5" s="4" customFormat="1" ht="15.75">
      <c r="A105" s="189"/>
      <c r="B105" s="191"/>
      <c r="C105" s="191"/>
      <c r="D105" s="191"/>
      <c r="E105" s="191"/>
    </row>
    <row r="106" spans="1:5" s="4" customFormat="1" ht="15.75">
      <c r="A106" s="25" t="s">
        <v>85</v>
      </c>
      <c r="B106" s="26"/>
      <c r="C106" s="26"/>
      <c r="D106" s="26"/>
      <c r="E106" s="26"/>
    </row>
    <row r="107" spans="1:5" s="4" customFormat="1" ht="15.75">
      <c r="A107" s="26" t="s">
        <v>86</v>
      </c>
      <c r="B107" s="102"/>
      <c r="C107" s="102"/>
      <c r="D107" s="102"/>
      <c r="E107" s="102">
        <f aca="true" t="shared" si="6" ref="E107:E114">SUM(B107:D107)</f>
        <v>0</v>
      </c>
    </row>
    <row r="108" spans="1:5" s="4" customFormat="1" ht="15.75">
      <c r="A108" s="26" t="s">
        <v>27</v>
      </c>
      <c r="B108" s="102"/>
      <c r="C108" s="102"/>
      <c r="D108" s="102"/>
      <c r="E108" s="102">
        <f t="shared" si="6"/>
        <v>0</v>
      </c>
    </row>
    <row r="109" spans="1:5" s="4" customFormat="1" ht="15.75">
      <c r="A109" s="26" t="s">
        <v>28</v>
      </c>
      <c r="B109" s="102"/>
      <c r="C109" s="102"/>
      <c r="D109" s="102"/>
      <c r="E109" s="102">
        <f t="shared" si="6"/>
        <v>0</v>
      </c>
    </row>
    <row r="110" spans="1:5" s="4" customFormat="1" ht="15.75">
      <c r="A110" s="26" t="s">
        <v>29</v>
      </c>
      <c r="B110" s="102"/>
      <c r="C110" s="102"/>
      <c r="D110" s="102"/>
      <c r="E110" s="102">
        <f t="shared" si="6"/>
        <v>0</v>
      </c>
    </row>
    <row r="111" spans="1:5" s="4" customFormat="1" ht="15.75">
      <c r="A111" s="26" t="s">
        <v>269</v>
      </c>
      <c r="B111" s="102"/>
      <c r="C111" s="102"/>
      <c r="D111" s="102"/>
      <c r="E111" s="102">
        <f t="shared" si="6"/>
        <v>0</v>
      </c>
    </row>
    <row r="112" spans="1:5" s="4" customFormat="1" ht="15.75">
      <c r="A112" s="26" t="s">
        <v>270</v>
      </c>
      <c r="B112" s="102"/>
      <c r="C112" s="102"/>
      <c r="D112" s="102"/>
      <c r="E112" s="102">
        <f t="shared" si="6"/>
        <v>0</v>
      </c>
    </row>
    <row r="113" spans="1:5" s="4" customFormat="1" ht="15.75">
      <c r="A113" s="26" t="s">
        <v>271</v>
      </c>
      <c r="B113" s="102"/>
      <c r="C113" s="102"/>
      <c r="D113" s="102"/>
      <c r="E113" s="102">
        <f t="shared" si="6"/>
        <v>0</v>
      </c>
    </row>
    <row r="114" spans="1:5" s="4" customFormat="1" ht="15.75">
      <c r="A114" s="26" t="s">
        <v>197</v>
      </c>
      <c r="B114" s="102"/>
      <c r="C114" s="102"/>
      <c r="D114" s="102"/>
      <c r="E114" s="102">
        <f t="shared" si="6"/>
        <v>0</v>
      </c>
    </row>
    <row r="115" spans="1:5" s="5" customFormat="1" ht="15.75">
      <c r="A115" s="25" t="s">
        <v>87</v>
      </c>
      <c r="B115" s="126"/>
      <c r="C115" s="126"/>
      <c r="D115" s="126"/>
      <c r="E115" s="126">
        <f>SUM(E107:E114)</f>
        <v>0</v>
      </c>
    </row>
    <row r="116" spans="1:9" s="4" customFormat="1" ht="18" customHeight="1">
      <c r="A116" s="82"/>
      <c r="B116" s="114"/>
      <c r="C116" s="114"/>
      <c r="D116" s="114"/>
      <c r="E116" s="114"/>
      <c r="F116" s="114"/>
      <c r="G116" s="114"/>
      <c r="H116" s="114"/>
      <c r="I116" s="114"/>
    </row>
    <row r="117" spans="1:4" s="4" customFormat="1" ht="15.75">
      <c r="A117" s="189" t="s">
        <v>278</v>
      </c>
      <c r="B117" s="190" t="s">
        <v>272</v>
      </c>
      <c r="C117" s="190" t="s">
        <v>273</v>
      </c>
      <c r="D117" s="190" t="s">
        <v>82</v>
      </c>
    </row>
    <row r="118" spans="1:4" s="4" customFormat="1" ht="15.75">
      <c r="A118" s="189"/>
      <c r="B118" s="191"/>
      <c r="C118" s="191"/>
      <c r="D118" s="191"/>
    </row>
    <row r="119" spans="1:4" s="4" customFormat="1" ht="15.75">
      <c r="A119" s="26" t="s">
        <v>37</v>
      </c>
      <c r="B119" s="74"/>
      <c r="C119" s="74"/>
      <c r="D119" s="102">
        <f aca="true" t="shared" si="7" ref="D119:D126">SUM(B119:C119)</f>
        <v>0</v>
      </c>
    </row>
    <row r="120" spans="1:4" s="4" customFormat="1" ht="15.75">
      <c r="A120" s="26" t="s">
        <v>29</v>
      </c>
      <c r="B120" s="74"/>
      <c r="C120" s="74"/>
      <c r="D120" s="102">
        <f t="shared" si="7"/>
        <v>0</v>
      </c>
    </row>
    <row r="121" spans="1:4" s="4" customFormat="1" ht="15.75">
      <c r="A121" s="26" t="s">
        <v>279</v>
      </c>
      <c r="B121" s="74"/>
      <c r="C121" s="74"/>
      <c r="D121" s="102">
        <f t="shared" si="7"/>
        <v>0</v>
      </c>
    </row>
    <row r="122" spans="1:4" s="4" customFormat="1" ht="15.75">
      <c r="A122" s="26" t="s">
        <v>280</v>
      </c>
      <c r="B122" s="74"/>
      <c r="C122" s="74"/>
      <c r="D122" s="102">
        <f t="shared" si="7"/>
        <v>0</v>
      </c>
    </row>
    <row r="123" spans="1:4" s="4" customFormat="1" ht="15.75">
      <c r="A123" s="26" t="s">
        <v>281</v>
      </c>
      <c r="B123" s="74"/>
      <c r="C123" s="74"/>
      <c r="D123" s="102">
        <f t="shared" si="7"/>
        <v>0</v>
      </c>
    </row>
    <row r="124" spans="1:4" s="4" customFormat="1" ht="15.75">
      <c r="A124" s="26" t="s">
        <v>282</v>
      </c>
      <c r="B124" s="74"/>
      <c r="C124" s="74"/>
      <c r="D124" s="102">
        <f t="shared" si="7"/>
        <v>0</v>
      </c>
    </row>
    <row r="125" spans="1:4" s="4" customFormat="1" ht="15.75">
      <c r="A125" s="26" t="s">
        <v>89</v>
      </c>
      <c r="B125" s="74"/>
      <c r="C125" s="74"/>
      <c r="D125" s="102">
        <f t="shared" si="7"/>
        <v>0</v>
      </c>
    </row>
    <row r="126" spans="1:4" s="4" customFormat="1" ht="15.75">
      <c r="A126" s="25" t="s">
        <v>90</v>
      </c>
      <c r="B126" s="31"/>
      <c r="C126" s="31"/>
      <c r="D126" s="113">
        <f t="shared" si="7"/>
        <v>0</v>
      </c>
    </row>
    <row r="127" spans="1:9" s="30" customFormat="1" ht="15.75">
      <c r="A127" s="48" t="s">
        <v>277</v>
      </c>
      <c r="B127" s="55"/>
      <c r="C127" s="55"/>
      <c r="D127" s="55"/>
      <c r="E127" s="55"/>
      <c r="F127" s="55"/>
      <c r="G127" s="55"/>
      <c r="H127" s="55"/>
      <c r="I127" s="55"/>
    </row>
    <row r="128" spans="1:9" s="30" customFormat="1" ht="15.75">
      <c r="A128" s="48" t="s">
        <v>276</v>
      </c>
      <c r="B128" s="55"/>
      <c r="C128" s="55"/>
      <c r="D128" s="55"/>
      <c r="E128" s="55"/>
      <c r="F128" s="55"/>
      <c r="G128" s="55"/>
      <c r="H128" s="55"/>
      <c r="I128" s="55"/>
    </row>
    <row r="129" spans="1:9" s="30" customFormat="1" ht="15.75">
      <c r="A129" s="48" t="s">
        <v>275</v>
      </c>
      <c r="B129" s="55"/>
      <c r="C129" s="55"/>
      <c r="D129" s="55"/>
      <c r="E129" s="55"/>
      <c r="F129" s="55"/>
      <c r="G129" s="55"/>
      <c r="H129" s="55"/>
      <c r="I129" s="55"/>
    </row>
    <row r="130" spans="1:9" s="55" customFormat="1" ht="15.75">
      <c r="A130" s="115"/>
      <c r="B130" s="116"/>
      <c r="C130" s="116"/>
      <c r="D130" s="116"/>
      <c r="E130" s="116"/>
      <c r="F130" s="116"/>
      <c r="G130" s="116"/>
      <c r="H130" s="116"/>
      <c r="I130" s="116"/>
    </row>
    <row r="131" spans="1:9" s="55" customFormat="1" ht="15.75">
      <c r="A131" s="115"/>
      <c r="B131" s="116"/>
      <c r="C131" s="116"/>
      <c r="D131" s="116"/>
      <c r="E131" s="116"/>
      <c r="F131" s="116"/>
      <c r="G131" s="116"/>
      <c r="H131" s="116"/>
      <c r="I131" s="116"/>
    </row>
    <row r="132" spans="1:9" s="55" customFormat="1" ht="15.75">
      <c r="A132" s="115"/>
      <c r="B132" s="116"/>
      <c r="C132" s="116"/>
      <c r="D132" s="116"/>
      <c r="E132" s="116"/>
      <c r="F132" s="116"/>
      <c r="G132" s="116"/>
      <c r="H132" s="116"/>
      <c r="I132" s="116"/>
    </row>
    <row r="133" spans="1:9" s="55" customFormat="1" ht="15.75">
      <c r="A133" s="115"/>
      <c r="B133" s="116"/>
      <c r="C133" s="116"/>
      <c r="D133" s="116"/>
      <c r="E133" s="116"/>
      <c r="F133" s="116"/>
      <c r="G133" s="116"/>
      <c r="H133" s="116"/>
      <c r="I133" s="116"/>
    </row>
    <row r="134" spans="1:9" s="55" customFormat="1" ht="15.75">
      <c r="A134" s="115"/>
      <c r="B134" s="116"/>
      <c r="C134" s="116"/>
      <c r="D134" s="116"/>
      <c r="E134" s="116"/>
      <c r="F134" s="116"/>
      <c r="G134" s="116"/>
      <c r="H134" s="116"/>
      <c r="I134" s="116"/>
    </row>
    <row r="135" spans="1:9" s="4" customFormat="1" ht="15.75">
      <c r="A135" s="115"/>
      <c r="B135" s="116"/>
      <c r="C135" s="116"/>
      <c r="D135" s="116"/>
      <c r="E135" s="116"/>
      <c r="F135" s="116"/>
      <c r="G135" s="116"/>
      <c r="H135" s="116"/>
      <c r="I135" s="116"/>
    </row>
    <row r="136" s="4" customFormat="1" ht="15.75"/>
    <row r="137" s="4" customFormat="1" ht="15.75"/>
    <row r="138" s="4" customFormat="1" ht="15.75"/>
    <row r="143" ht="15.75">
      <c r="E143" s="4"/>
    </row>
  </sheetData>
  <sheetProtection/>
  <mergeCells count="14">
    <mergeCell ref="A36:E36"/>
    <mergeCell ref="A37:IV37"/>
    <mergeCell ref="A70:I70"/>
    <mergeCell ref="A101:E101"/>
    <mergeCell ref="A1:E1"/>
    <mergeCell ref="A2:E2"/>
    <mergeCell ref="A3:E3"/>
    <mergeCell ref="A34:E34"/>
    <mergeCell ref="A35:E35"/>
    <mergeCell ref="A67:E67"/>
    <mergeCell ref="A68:E68"/>
    <mergeCell ref="A69:E69"/>
    <mergeCell ref="A99:E99"/>
    <mergeCell ref="A100:E100"/>
  </mergeCells>
  <printOptions/>
  <pageMargins left="0.3" right="0.15748031496062992" top="0.62" bottom="1.07" header="0.26" footer="0.31496062992125984"/>
  <pageSetup firstPageNumber="0" useFirstPageNumber="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L77"/>
  <sheetViews>
    <sheetView zoomScalePageLayoutView="0" workbookViewId="0" topLeftCell="A1">
      <selection activeCell="C47" sqref="C47"/>
    </sheetView>
  </sheetViews>
  <sheetFormatPr defaultColWidth="9.140625" defaultRowHeight="15"/>
  <cols>
    <col min="1" max="1" width="9.7109375" style="0" customWidth="1"/>
    <col min="2" max="2" width="30.8515625" style="0" customWidth="1"/>
    <col min="3" max="3" width="11.57421875" style="0" customWidth="1"/>
    <col min="4" max="4" width="11.57421875" style="0" bestFit="1" customWidth="1"/>
    <col min="5" max="6" width="11.00390625" style="0" customWidth="1"/>
    <col min="7" max="7" width="13.8515625" style="0" bestFit="1" customWidth="1"/>
    <col min="8" max="8" width="18.00390625" style="0" bestFit="1" customWidth="1"/>
    <col min="9" max="9" width="17.421875" style="16" bestFit="1" customWidth="1"/>
  </cols>
  <sheetData>
    <row r="1" spans="1:10" s="3" customFormat="1" ht="15.75">
      <c r="A1" s="291" t="s">
        <v>21</v>
      </c>
      <c r="B1" s="292"/>
      <c r="C1" s="292"/>
      <c r="D1" s="292"/>
      <c r="E1" s="292"/>
      <c r="F1" s="292"/>
      <c r="G1" s="182"/>
      <c r="H1" s="182"/>
      <c r="I1" s="182"/>
      <c r="J1" s="4"/>
    </row>
    <row r="2" spans="1:10" s="3" customFormat="1" ht="30" customHeight="1">
      <c r="A2" s="375" t="s">
        <v>285</v>
      </c>
      <c r="B2" s="376"/>
      <c r="C2" s="376"/>
      <c r="D2" s="376"/>
      <c r="E2" s="376"/>
      <c r="F2" s="376"/>
      <c r="G2" s="59"/>
      <c r="H2" s="59"/>
      <c r="I2" s="59"/>
      <c r="J2" s="4"/>
    </row>
    <row r="3" spans="1:9" s="3" customFormat="1" ht="15.75">
      <c r="A3" s="294" t="s">
        <v>323</v>
      </c>
      <c r="B3" s="295"/>
      <c r="C3" s="295"/>
      <c r="D3" s="295"/>
      <c r="E3" s="295"/>
      <c r="F3" s="295"/>
      <c r="G3" s="59"/>
      <c r="H3" s="59"/>
      <c r="I3" s="59"/>
    </row>
    <row r="4" spans="1:6" ht="15">
      <c r="A4" s="16"/>
      <c r="B4" s="16"/>
      <c r="C4" s="16"/>
      <c r="D4" s="16"/>
      <c r="E4" s="16"/>
      <c r="F4" s="16"/>
    </row>
    <row r="5" spans="1:6" ht="15">
      <c r="A5" s="195"/>
      <c r="B5" s="196"/>
      <c r="C5" s="373" t="s">
        <v>16</v>
      </c>
      <c r="D5" s="374"/>
      <c r="E5" s="373" t="s">
        <v>25</v>
      </c>
      <c r="F5" s="374"/>
    </row>
    <row r="6" spans="1:6" ht="15">
      <c r="A6" s="38"/>
      <c r="B6" s="39"/>
      <c r="C6" s="76" t="s">
        <v>17</v>
      </c>
      <c r="D6" s="76" t="s">
        <v>20</v>
      </c>
      <c r="E6" s="76" t="s">
        <v>17</v>
      </c>
      <c r="F6" s="76" t="s">
        <v>20</v>
      </c>
    </row>
    <row r="7" spans="1:6" ht="15">
      <c r="A7" s="40" t="s">
        <v>189</v>
      </c>
      <c r="B7" s="39"/>
      <c r="C7" s="77" t="s">
        <v>103</v>
      </c>
      <c r="D7" s="77" t="s">
        <v>105</v>
      </c>
      <c r="E7" s="77" t="s">
        <v>103</v>
      </c>
      <c r="F7" s="77" t="s">
        <v>105</v>
      </c>
    </row>
    <row r="8" spans="1:6" ht="15">
      <c r="A8" s="40"/>
      <c r="B8" s="39"/>
      <c r="C8" s="77" t="s">
        <v>102</v>
      </c>
      <c r="D8" s="77" t="s">
        <v>104</v>
      </c>
      <c r="E8" s="77" t="s">
        <v>102</v>
      </c>
      <c r="F8" s="77" t="s">
        <v>104</v>
      </c>
    </row>
    <row r="9" spans="1:9" ht="15">
      <c r="A9" s="41"/>
      <c r="B9" s="36"/>
      <c r="C9" s="237" t="s">
        <v>333</v>
      </c>
      <c r="D9" s="237" t="s">
        <v>167</v>
      </c>
      <c r="E9" s="237" t="s">
        <v>333</v>
      </c>
      <c r="F9" s="237" t="s">
        <v>167</v>
      </c>
      <c r="I9" s="17"/>
    </row>
    <row r="10" spans="1:9" ht="15">
      <c r="A10" s="192" t="s">
        <v>286</v>
      </c>
      <c r="B10" s="36"/>
      <c r="C10" s="78"/>
      <c r="D10" s="78"/>
      <c r="E10" s="78"/>
      <c r="F10" s="78"/>
      <c r="I10" s="17"/>
    </row>
    <row r="11" spans="1:9" ht="15">
      <c r="A11" s="192" t="s">
        <v>287</v>
      </c>
      <c r="B11" s="36"/>
      <c r="C11" s="78"/>
      <c r="D11" s="78"/>
      <c r="E11" s="78"/>
      <c r="F11" s="78"/>
      <c r="I11" s="17"/>
    </row>
    <row r="12" spans="1:9" ht="15">
      <c r="A12" s="365" t="s">
        <v>288</v>
      </c>
      <c r="B12" s="366"/>
      <c r="C12" s="227">
        <f>903201539/1000000</f>
        <v>903.201539</v>
      </c>
      <c r="D12" s="227">
        <f>1239871991/1000000</f>
        <v>1239.871991</v>
      </c>
      <c r="E12" s="121"/>
      <c r="F12" s="121"/>
      <c r="I12" s="17"/>
    </row>
    <row r="13" spans="1:9" ht="15">
      <c r="A13" s="365" t="s">
        <v>289</v>
      </c>
      <c r="B13" s="366"/>
      <c r="C13" s="227">
        <f>+(807240121+5141304679)/1000000</f>
        <v>5948.5448</v>
      </c>
      <c r="D13" s="227">
        <f>+(896609130+2098520189)/1000000</f>
        <v>2995.129319</v>
      </c>
      <c r="E13" s="121"/>
      <c r="F13" s="121"/>
      <c r="I13" s="17"/>
    </row>
    <row r="14" spans="1:9" ht="15">
      <c r="A14" s="365" t="s">
        <v>290</v>
      </c>
      <c r="B14" s="366"/>
      <c r="C14" s="227">
        <v>0</v>
      </c>
      <c r="D14" s="227">
        <v>0</v>
      </c>
      <c r="E14" s="121"/>
      <c r="F14" s="121"/>
      <c r="I14" s="17"/>
    </row>
    <row r="15" spans="1:9" ht="15">
      <c r="A15" s="365" t="s">
        <v>291</v>
      </c>
      <c r="B15" s="366"/>
      <c r="C15" s="227">
        <v>0</v>
      </c>
      <c r="D15" s="227">
        <v>0</v>
      </c>
      <c r="E15" s="121"/>
      <c r="F15" s="121"/>
      <c r="I15" s="17"/>
    </row>
    <row r="16" spans="1:9" ht="15">
      <c r="A16" s="365" t="s">
        <v>292</v>
      </c>
      <c r="B16" s="366"/>
      <c r="C16" s="227">
        <v>0</v>
      </c>
      <c r="D16" s="227">
        <v>0</v>
      </c>
      <c r="E16" s="121"/>
      <c r="F16" s="121"/>
      <c r="I16" s="17"/>
    </row>
    <row r="17" spans="1:9" ht="15">
      <c r="A17" s="365" t="s">
        <v>343</v>
      </c>
      <c r="B17" s="366"/>
      <c r="C17" s="227">
        <f>8173562685/1000000-C12-C13</f>
        <v>1321.8163460000005</v>
      </c>
      <c r="D17" s="227">
        <f>5193173967/1000000-D12-D13</f>
        <v>958.1726569999996</v>
      </c>
      <c r="E17" s="121"/>
      <c r="F17" s="121"/>
      <c r="I17" s="17"/>
    </row>
    <row r="18" spans="1:12" ht="15">
      <c r="A18" s="42" t="s">
        <v>293</v>
      </c>
      <c r="B18" s="34"/>
      <c r="C18" s="247">
        <f>SUM(C12:C17)</f>
        <v>8173.562685</v>
      </c>
      <c r="D18" s="247">
        <f>SUM(D12:D17)</f>
        <v>5193.173966999999</v>
      </c>
      <c r="E18" s="247">
        <f>SUM(E12:E17)</f>
        <v>0</v>
      </c>
      <c r="F18" s="247">
        <f>SUM(F12:F17)</f>
        <v>0</v>
      </c>
      <c r="H18" s="103"/>
      <c r="I18" s="197"/>
      <c r="L18" s="16"/>
    </row>
    <row r="19" spans="1:12" ht="15">
      <c r="A19" s="193"/>
      <c r="B19" s="194"/>
      <c r="C19" s="229"/>
      <c r="D19" s="229"/>
      <c r="E19" s="230"/>
      <c r="F19" s="230"/>
      <c r="H19" s="103"/>
      <c r="I19" s="118"/>
      <c r="L19" s="16"/>
    </row>
    <row r="20" spans="1:9" ht="15">
      <c r="A20" s="192" t="s">
        <v>344</v>
      </c>
      <c r="B20" s="36"/>
      <c r="C20" s="121"/>
      <c r="D20" s="121"/>
      <c r="E20" s="121"/>
      <c r="F20" s="121"/>
      <c r="I20" s="17"/>
    </row>
    <row r="21" spans="1:9" ht="15">
      <c r="A21" s="365" t="s">
        <v>288</v>
      </c>
      <c r="B21" s="366"/>
      <c r="C21" s="121"/>
      <c r="D21" s="121"/>
      <c r="E21" s="121"/>
      <c r="F21" s="121"/>
      <c r="I21" s="17"/>
    </row>
    <row r="22" spans="1:9" ht="15">
      <c r="A22" s="365" t="s">
        <v>289</v>
      </c>
      <c r="B22" s="366"/>
      <c r="C22" s="121"/>
      <c r="D22" s="121"/>
      <c r="E22" s="121"/>
      <c r="F22" s="121"/>
      <c r="I22" s="17"/>
    </row>
    <row r="23" spans="1:9" ht="15">
      <c r="A23" s="365" t="s">
        <v>294</v>
      </c>
      <c r="B23" s="366"/>
      <c r="C23" s="121"/>
      <c r="D23" s="121"/>
      <c r="E23" s="121"/>
      <c r="F23" s="121"/>
      <c r="I23" s="17"/>
    </row>
    <row r="24" spans="1:9" ht="15">
      <c r="A24" s="365" t="s">
        <v>295</v>
      </c>
      <c r="B24" s="366"/>
      <c r="C24" s="121"/>
      <c r="D24" s="121"/>
      <c r="E24" s="121"/>
      <c r="F24" s="121"/>
      <c r="I24" s="17"/>
    </row>
    <row r="25" spans="1:9" ht="15">
      <c r="A25" s="365" t="s">
        <v>343</v>
      </c>
      <c r="B25" s="366"/>
      <c r="C25" s="121"/>
      <c r="D25" s="121"/>
      <c r="E25" s="121"/>
      <c r="F25" s="121"/>
      <c r="I25" s="17"/>
    </row>
    <row r="26" spans="1:12" ht="15">
      <c r="A26" s="42" t="s">
        <v>293</v>
      </c>
      <c r="B26" s="34"/>
      <c r="C26" s="236">
        <f>SUM(C20:C25)</f>
        <v>0</v>
      </c>
      <c r="D26" s="236">
        <f>SUM(D20:D25)</f>
        <v>0</v>
      </c>
      <c r="E26" s="236">
        <f>SUM(E20:E25)</f>
        <v>0</v>
      </c>
      <c r="F26" s="236">
        <f>SUM(F20:F25)</f>
        <v>0</v>
      </c>
      <c r="H26" s="103"/>
      <c r="I26" s="118"/>
      <c r="L26" s="16"/>
    </row>
    <row r="27" spans="1:12" ht="15">
      <c r="A27" s="193" t="s">
        <v>82</v>
      </c>
      <c r="B27" s="194"/>
      <c r="C27" s="236">
        <f>+C18+C26</f>
        <v>8173.562685</v>
      </c>
      <c r="D27" s="236">
        <f>+D18+D26</f>
        <v>5193.173966999999</v>
      </c>
      <c r="E27" s="236">
        <f>+E18+E26</f>
        <v>0</v>
      </c>
      <c r="F27" s="236">
        <f>+F18+F26</f>
        <v>0</v>
      </c>
      <c r="H27" s="103"/>
      <c r="I27" s="118"/>
      <c r="L27" s="16"/>
    </row>
    <row r="28" spans="1:6" ht="15">
      <c r="A28" s="199"/>
      <c r="B28" s="198"/>
      <c r="C28" s="122"/>
      <c r="D28" s="122"/>
      <c r="E28" s="122"/>
      <c r="F28" s="122"/>
    </row>
    <row r="29" spans="1:6" ht="15">
      <c r="A29" s="192" t="s">
        <v>296</v>
      </c>
      <c r="B29" s="36"/>
      <c r="C29" s="121"/>
      <c r="D29" s="121"/>
      <c r="E29" s="121"/>
      <c r="F29" s="121"/>
    </row>
    <row r="30" spans="1:6" ht="15">
      <c r="A30" s="192" t="s">
        <v>287</v>
      </c>
      <c r="B30" s="36"/>
      <c r="C30" s="121"/>
      <c r="D30" s="121"/>
      <c r="E30" s="121"/>
      <c r="F30" s="121"/>
    </row>
    <row r="31" spans="1:6" ht="15">
      <c r="A31" s="365" t="s">
        <v>294</v>
      </c>
      <c r="B31" s="366"/>
      <c r="C31" s="227">
        <f>467400108/1000000</f>
        <v>467.400108</v>
      </c>
      <c r="D31" s="227"/>
      <c r="E31" s="227"/>
      <c r="F31" s="227"/>
    </row>
    <row r="32" spans="1:6" ht="15">
      <c r="A32" s="365" t="s">
        <v>295</v>
      </c>
      <c r="B32" s="366"/>
      <c r="C32" s="227">
        <v>0</v>
      </c>
      <c r="D32" s="227"/>
      <c r="E32" s="227"/>
      <c r="F32" s="227"/>
    </row>
    <row r="33" spans="1:6" ht="15">
      <c r="A33" s="365" t="s">
        <v>297</v>
      </c>
      <c r="B33" s="366"/>
      <c r="C33" s="227">
        <f>+(115786696+1065269699)/1000000</f>
        <v>1181.056395</v>
      </c>
      <c r="D33" s="227"/>
      <c r="E33" s="227"/>
      <c r="F33" s="227"/>
    </row>
    <row r="34" spans="1:6" ht="15">
      <c r="A34" s="365" t="s">
        <v>350</v>
      </c>
      <c r="B34" s="366"/>
      <c r="C34" s="227">
        <f>121465401/1000000</f>
        <v>121.465401</v>
      </c>
      <c r="D34" s="227"/>
      <c r="E34" s="227"/>
      <c r="F34" s="227"/>
    </row>
    <row r="35" spans="1:6" ht="15">
      <c r="A35" s="365" t="s">
        <v>351</v>
      </c>
      <c r="B35" s="366"/>
      <c r="C35" s="227">
        <f>647340773/1000000</f>
        <v>647.340773</v>
      </c>
      <c r="D35" s="227"/>
      <c r="E35" s="227"/>
      <c r="F35" s="227"/>
    </row>
    <row r="36" spans="1:6" ht="15">
      <c r="A36" s="365" t="s">
        <v>352</v>
      </c>
      <c r="B36" s="366"/>
      <c r="C36" s="227">
        <f>578891872/1000000</f>
        <v>578.891872</v>
      </c>
      <c r="D36" s="227"/>
      <c r="E36" s="227"/>
      <c r="F36" s="227"/>
    </row>
    <row r="37" spans="1:6" ht="15">
      <c r="A37" s="42" t="s">
        <v>293</v>
      </c>
      <c r="B37" s="34"/>
      <c r="C37" s="247">
        <f>SUM(C31:C36)</f>
        <v>2996.1545490000003</v>
      </c>
      <c r="D37" s="247">
        <f>SUM(D31:D35)</f>
        <v>0</v>
      </c>
      <c r="E37" s="247">
        <f>SUM(E31:E35)</f>
        <v>0</v>
      </c>
      <c r="F37" s="247">
        <f>SUM(F31:F35)</f>
        <v>0</v>
      </c>
    </row>
    <row r="38" spans="1:6" ht="15">
      <c r="A38" s="367"/>
      <c r="B38" s="368"/>
      <c r="C38" s="229"/>
      <c r="D38" s="229"/>
      <c r="E38" s="230"/>
      <c r="F38" s="230"/>
    </row>
    <row r="39" spans="1:6" ht="15">
      <c r="A39" s="192" t="s">
        <v>344</v>
      </c>
      <c r="B39" s="36"/>
      <c r="C39" s="121"/>
      <c r="D39" s="121"/>
      <c r="E39" s="121"/>
      <c r="F39" s="121"/>
    </row>
    <row r="40" spans="1:6" ht="15">
      <c r="A40" s="365" t="s">
        <v>294</v>
      </c>
      <c r="B40" s="366"/>
      <c r="C40" s="121"/>
      <c r="D40" s="121"/>
      <c r="E40" s="121"/>
      <c r="F40" s="121"/>
    </row>
    <row r="41" spans="1:6" ht="15">
      <c r="A41" s="365" t="s">
        <v>295</v>
      </c>
      <c r="B41" s="366"/>
      <c r="C41" s="121"/>
      <c r="D41" s="121"/>
      <c r="E41" s="121"/>
      <c r="F41" s="121"/>
    </row>
    <row r="42" spans="1:6" ht="15">
      <c r="A42" s="371" t="s">
        <v>297</v>
      </c>
      <c r="B42" s="372"/>
      <c r="C42" s="121"/>
      <c r="D42" s="121"/>
      <c r="E42" s="121"/>
      <c r="F42" s="121"/>
    </row>
    <row r="43" spans="1:6" ht="15">
      <c r="A43" s="365" t="s">
        <v>350</v>
      </c>
      <c r="B43" s="366"/>
      <c r="C43" s="121"/>
      <c r="D43" s="121"/>
      <c r="E43" s="121"/>
      <c r="F43" s="121"/>
    </row>
    <row r="44" spans="1:6" ht="15">
      <c r="A44" s="365" t="s">
        <v>351</v>
      </c>
      <c r="B44" s="366"/>
      <c r="C44" s="121"/>
      <c r="D44" s="121"/>
      <c r="E44" s="121"/>
      <c r="F44" s="121"/>
    </row>
    <row r="45" spans="1:6" ht="15">
      <c r="A45" s="365" t="s">
        <v>352</v>
      </c>
      <c r="B45" s="366"/>
      <c r="C45" s="121"/>
      <c r="D45" s="121"/>
      <c r="E45" s="121"/>
      <c r="F45" s="121"/>
    </row>
    <row r="46" spans="1:6" ht="15">
      <c r="A46" s="42" t="s">
        <v>293</v>
      </c>
      <c r="B46" s="34"/>
      <c r="C46" s="228">
        <f>SUM(C40:C45)</f>
        <v>0</v>
      </c>
      <c r="D46" s="228">
        <f>SUM(D39:D44)</f>
        <v>0</v>
      </c>
      <c r="E46" s="228">
        <f>SUM(E39:E44)</f>
        <v>0</v>
      </c>
      <c r="F46" s="228">
        <f>SUM(F39:F44)</f>
        <v>0</v>
      </c>
    </row>
    <row r="47" spans="1:6" ht="15.75" thickBot="1">
      <c r="A47" s="200" t="s">
        <v>82</v>
      </c>
      <c r="B47" s="201"/>
      <c r="C47" s="231">
        <f>+C37+C46</f>
        <v>2996.1545490000003</v>
      </c>
      <c r="D47" s="231">
        <f>+D37+D46</f>
        <v>0</v>
      </c>
      <c r="E47" s="231">
        <f>+E37+E46</f>
        <v>0</v>
      </c>
      <c r="F47" s="231">
        <f>+F37+F46</f>
        <v>0</v>
      </c>
    </row>
    <row r="48" spans="1:6" ht="15">
      <c r="A48" s="369"/>
      <c r="B48" s="370"/>
      <c r="C48" s="229"/>
      <c r="D48" s="233"/>
      <c r="E48" s="234"/>
      <c r="F48" s="234"/>
    </row>
    <row r="49" spans="1:6" ht="15">
      <c r="A49" s="363" t="s">
        <v>298</v>
      </c>
      <c r="B49" s="364"/>
      <c r="C49" s="121"/>
      <c r="D49" s="121"/>
      <c r="E49" s="121"/>
      <c r="F49" s="121"/>
    </row>
    <row r="50" spans="1:6" ht="15">
      <c r="A50" s="363" t="s">
        <v>299</v>
      </c>
      <c r="B50" s="364"/>
      <c r="C50" s="121"/>
      <c r="D50" s="121"/>
      <c r="E50" s="121"/>
      <c r="F50" s="121"/>
    </row>
    <row r="51" spans="1:6" ht="15">
      <c r="A51" s="363" t="s">
        <v>300</v>
      </c>
      <c r="B51" s="364"/>
      <c r="C51" s="121"/>
      <c r="D51" s="121"/>
      <c r="E51" s="121"/>
      <c r="F51" s="121"/>
    </row>
    <row r="52" spans="1:6" ht="15">
      <c r="A52" s="363" t="s">
        <v>301</v>
      </c>
      <c r="B52" s="364"/>
      <c r="C52" s="121"/>
      <c r="D52" s="121"/>
      <c r="E52" s="121"/>
      <c r="F52" s="121"/>
    </row>
    <row r="53" spans="1:6" ht="15">
      <c r="A53" s="365" t="s">
        <v>302</v>
      </c>
      <c r="B53" s="366"/>
      <c r="C53" s="227">
        <f>+C63</f>
        <v>2.922166</v>
      </c>
      <c r="D53" s="121"/>
      <c r="E53" s="121"/>
      <c r="F53" s="121"/>
    </row>
    <row r="54" spans="1:6" ht="15">
      <c r="A54" s="365" t="s">
        <v>304</v>
      </c>
      <c r="B54" s="366"/>
      <c r="C54" s="227">
        <f>+C69</f>
        <v>80.506316</v>
      </c>
      <c r="D54" s="121"/>
      <c r="E54" s="121"/>
      <c r="F54" s="121"/>
    </row>
    <row r="55" spans="1:6" ht="15">
      <c r="A55" s="365" t="s">
        <v>303</v>
      </c>
      <c r="B55" s="366"/>
      <c r="C55" s="227">
        <f>+C75</f>
        <v>96.266062</v>
      </c>
      <c r="D55" s="121"/>
      <c r="E55" s="121"/>
      <c r="F55" s="121"/>
    </row>
    <row r="56" spans="1:6" ht="15">
      <c r="A56" s="42" t="s">
        <v>306</v>
      </c>
      <c r="B56" s="34"/>
      <c r="C56" s="228"/>
      <c r="D56" s="228"/>
      <c r="E56" s="228"/>
      <c r="F56" s="228"/>
    </row>
    <row r="57" spans="1:6" ht="15.75" thickBot="1">
      <c r="A57" s="200" t="s">
        <v>305</v>
      </c>
      <c r="B57" s="201"/>
      <c r="C57" s="232">
        <f>+C27+C47-C53-C54-C55</f>
        <v>10990.022689999998</v>
      </c>
      <c r="D57" s="232">
        <f>SUM(D53:D56)</f>
        <v>0</v>
      </c>
      <c r="E57" s="231">
        <f>SUM(E53:E56)</f>
        <v>0</v>
      </c>
      <c r="F57" s="232">
        <f>SUM(F53:F56)</f>
        <v>0</v>
      </c>
    </row>
    <row r="58" spans="1:6" ht="15">
      <c r="A58" s="377" t="s">
        <v>307</v>
      </c>
      <c r="B58" s="378"/>
      <c r="C58" s="235"/>
      <c r="D58" s="235"/>
      <c r="E58" s="121"/>
      <c r="F58" s="235"/>
    </row>
    <row r="59" spans="1:6" ht="15">
      <c r="A59" s="363" t="s">
        <v>308</v>
      </c>
      <c r="B59" s="364"/>
      <c r="C59" s="227">
        <f>1216706/1000000</f>
        <v>1.216706</v>
      </c>
      <c r="D59" s="121"/>
      <c r="E59" s="121"/>
      <c r="F59" s="121"/>
    </row>
    <row r="60" spans="1:6" ht="15">
      <c r="A60" s="365" t="s">
        <v>309</v>
      </c>
      <c r="B60" s="366"/>
      <c r="C60" s="227">
        <f>-3367277/1000000</f>
        <v>-3.367277</v>
      </c>
      <c r="D60" s="121"/>
      <c r="E60" s="121"/>
      <c r="F60" s="121"/>
    </row>
    <row r="61" spans="1:6" ht="15">
      <c r="A61" s="365" t="s">
        <v>310</v>
      </c>
      <c r="B61" s="366"/>
      <c r="C61" s="227">
        <v>0</v>
      </c>
      <c r="D61" s="121"/>
      <c r="E61" s="121"/>
      <c r="F61" s="121"/>
    </row>
    <row r="62" spans="1:6" ht="15">
      <c r="A62" s="365" t="s">
        <v>311</v>
      </c>
      <c r="B62" s="366"/>
      <c r="C62" s="227">
        <f>5072737/1000000</f>
        <v>5.072737</v>
      </c>
      <c r="D62" s="121"/>
      <c r="E62" s="121"/>
      <c r="F62" s="121"/>
    </row>
    <row r="63" spans="1:6" ht="13.5" customHeight="1">
      <c r="A63" s="365" t="s">
        <v>312</v>
      </c>
      <c r="B63" s="366"/>
      <c r="C63" s="227">
        <f>SUM(C59:C62)</f>
        <v>2.922166</v>
      </c>
      <c r="D63" s="227">
        <f>SUM(D60:D62)</f>
        <v>0</v>
      </c>
      <c r="E63" s="227">
        <f>SUM(E60:E62)</f>
        <v>0</v>
      </c>
      <c r="F63" s="227">
        <f>SUM(F60:F62)</f>
        <v>0</v>
      </c>
    </row>
    <row r="64" spans="1:6" ht="15">
      <c r="A64" s="365"/>
      <c r="B64" s="366"/>
      <c r="C64" s="121"/>
      <c r="D64" s="121"/>
      <c r="E64" s="121"/>
      <c r="F64" s="121"/>
    </row>
    <row r="65" spans="1:6" ht="15">
      <c r="A65" s="363" t="s">
        <v>313</v>
      </c>
      <c r="B65" s="364"/>
      <c r="C65" s="121">
        <v>0</v>
      </c>
      <c r="D65" s="121"/>
      <c r="E65" s="121"/>
      <c r="F65" s="121"/>
    </row>
    <row r="66" spans="1:6" ht="15">
      <c r="A66" s="365" t="s">
        <v>309</v>
      </c>
      <c r="B66" s="366"/>
      <c r="C66" s="227">
        <f>76849604/1000000</f>
        <v>76.849604</v>
      </c>
      <c r="D66" s="121"/>
      <c r="E66" s="121"/>
      <c r="F66" s="121"/>
    </row>
    <row r="67" spans="1:6" ht="15">
      <c r="A67" s="365" t="s">
        <v>310</v>
      </c>
      <c r="B67" s="366"/>
      <c r="C67" s="121">
        <v>0</v>
      </c>
      <c r="D67" s="121"/>
      <c r="E67" s="121"/>
      <c r="F67" s="121"/>
    </row>
    <row r="68" spans="1:6" ht="15">
      <c r="A68" s="365" t="s">
        <v>311</v>
      </c>
      <c r="B68" s="366"/>
      <c r="C68" s="227">
        <f>3656712/1000000</f>
        <v>3.656712</v>
      </c>
      <c r="D68" s="121"/>
      <c r="E68" s="121"/>
      <c r="F68" s="121"/>
    </row>
    <row r="69" spans="1:6" ht="15">
      <c r="A69" s="365" t="s">
        <v>312</v>
      </c>
      <c r="B69" s="366"/>
      <c r="C69" s="227">
        <f>SUM(C65:C68)</f>
        <v>80.506316</v>
      </c>
      <c r="D69" s="227">
        <f>SUM(D66:D68)</f>
        <v>0</v>
      </c>
      <c r="E69" s="227">
        <f>SUM(E66:E68)</f>
        <v>0</v>
      </c>
      <c r="F69" s="227">
        <f>SUM(F66:F68)</f>
        <v>0</v>
      </c>
    </row>
    <row r="70" spans="1:6" ht="15">
      <c r="A70" s="365"/>
      <c r="B70" s="366"/>
      <c r="C70" s="121"/>
      <c r="D70" s="121"/>
      <c r="E70" s="121"/>
      <c r="F70" s="121"/>
    </row>
    <row r="71" spans="1:6" ht="15">
      <c r="A71" s="363" t="s">
        <v>314</v>
      </c>
      <c r="B71" s="364"/>
      <c r="C71" s="227">
        <f>96266062/1000000</f>
        <v>96.266062</v>
      </c>
      <c r="D71" s="121"/>
      <c r="E71" s="121"/>
      <c r="F71" s="121"/>
    </row>
    <row r="72" spans="1:6" ht="15">
      <c r="A72" s="365" t="s">
        <v>309</v>
      </c>
      <c r="B72" s="366"/>
      <c r="C72" s="121">
        <v>0</v>
      </c>
      <c r="D72" s="121"/>
      <c r="E72" s="121"/>
      <c r="F72" s="121"/>
    </row>
    <row r="73" spans="1:6" ht="15">
      <c r="A73" s="365" t="s">
        <v>310</v>
      </c>
      <c r="B73" s="366"/>
      <c r="C73" s="121">
        <v>0</v>
      </c>
      <c r="D73" s="121"/>
      <c r="E73" s="121"/>
      <c r="F73" s="121"/>
    </row>
    <row r="74" spans="1:6" ht="15">
      <c r="A74" s="365" t="s">
        <v>311</v>
      </c>
      <c r="B74" s="366"/>
      <c r="C74" s="121">
        <v>0</v>
      </c>
      <c r="D74" s="121"/>
      <c r="E74" s="121"/>
      <c r="F74" s="121"/>
    </row>
    <row r="75" spans="1:6" ht="15">
      <c r="A75" s="365" t="s">
        <v>312</v>
      </c>
      <c r="B75" s="366"/>
      <c r="C75" s="227">
        <f>SUM(C71:C74)</f>
        <v>96.266062</v>
      </c>
      <c r="D75" s="227">
        <f>SUM(D72:D74)</f>
        <v>0</v>
      </c>
      <c r="E75" s="227">
        <f>SUM(E72:E74)</f>
        <v>0</v>
      </c>
      <c r="F75" s="227">
        <f>SUM(F72:F74)</f>
        <v>0</v>
      </c>
    </row>
    <row r="76" spans="1:6" ht="15">
      <c r="A76" s="365"/>
      <c r="B76" s="366"/>
      <c r="C76" s="121"/>
      <c r="D76" s="121"/>
      <c r="E76" s="121"/>
      <c r="F76" s="121"/>
    </row>
    <row r="77" spans="1:6" ht="15.75" thickBot="1">
      <c r="A77" s="203" t="s">
        <v>315</v>
      </c>
      <c r="B77" s="202"/>
      <c r="C77" s="231">
        <f>+C63+C69+C75</f>
        <v>179.694544</v>
      </c>
      <c r="D77" s="231">
        <f>+D63+D69+D75</f>
        <v>0</v>
      </c>
      <c r="E77" s="231">
        <f>+E63+E69+E75</f>
        <v>0</v>
      </c>
      <c r="F77" s="231">
        <f>+F63+F69+F75</f>
        <v>0</v>
      </c>
    </row>
  </sheetData>
  <sheetProtection/>
  <mergeCells count="56">
    <mergeCell ref="A74:B74"/>
    <mergeCell ref="A75:B75"/>
    <mergeCell ref="A76:B76"/>
    <mergeCell ref="A69:B69"/>
    <mergeCell ref="A70:B70"/>
    <mergeCell ref="A71:B71"/>
    <mergeCell ref="A72:B72"/>
    <mergeCell ref="A73:B73"/>
    <mergeCell ref="A64:B64"/>
    <mergeCell ref="A65:B65"/>
    <mergeCell ref="A66:B66"/>
    <mergeCell ref="A67:B67"/>
    <mergeCell ref="A68:B68"/>
    <mergeCell ref="A58:B58"/>
    <mergeCell ref="A59:B59"/>
    <mergeCell ref="A60:B60"/>
    <mergeCell ref="A61:B61"/>
    <mergeCell ref="A63:B63"/>
    <mergeCell ref="A62:B62"/>
    <mergeCell ref="A55:B55"/>
    <mergeCell ref="A53:B53"/>
    <mergeCell ref="A54:B54"/>
    <mergeCell ref="A17:B17"/>
    <mergeCell ref="A2:F2"/>
    <mergeCell ref="A13:B13"/>
    <mergeCell ref="A14:B14"/>
    <mergeCell ref="A15:B15"/>
    <mergeCell ref="A16:B16"/>
    <mergeCell ref="A21:B21"/>
    <mergeCell ref="A22:B22"/>
    <mergeCell ref="A25:B25"/>
    <mergeCell ref="A23:B23"/>
    <mergeCell ref="A24:B24"/>
    <mergeCell ref="A31:B31"/>
    <mergeCell ref="A32:B32"/>
    <mergeCell ref="A1:F1"/>
    <mergeCell ref="A3:F3"/>
    <mergeCell ref="C5:D5"/>
    <mergeCell ref="E5:F5"/>
    <mergeCell ref="A12:B12"/>
    <mergeCell ref="A33:B33"/>
    <mergeCell ref="A34:B34"/>
    <mergeCell ref="A35:B35"/>
    <mergeCell ref="A50:B50"/>
    <mergeCell ref="A51:B51"/>
    <mergeCell ref="A36:B36"/>
    <mergeCell ref="A52:B52"/>
    <mergeCell ref="A44:B44"/>
    <mergeCell ref="A38:B38"/>
    <mergeCell ref="A48:B48"/>
    <mergeCell ref="A49:B49"/>
    <mergeCell ref="A40:B40"/>
    <mergeCell ref="A41:B41"/>
    <mergeCell ref="A42:B42"/>
    <mergeCell ref="A43:B43"/>
    <mergeCell ref="A45:B45"/>
  </mergeCells>
  <printOptions/>
  <pageMargins left="0.7086614173228347" right="0.7086614173228347" top="0.7480314960629921" bottom="0.7480314960629921" header="0.31496062992125984" footer="0.31496062992125984"/>
  <pageSetup fitToHeight="5"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sheetPr>
  <dimension ref="A1:L39"/>
  <sheetViews>
    <sheetView zoomScalePageLayoutView="0" workbookViewId="0" topLeftCell="A1">
      <selection activeCell="B32" sqref="B32"/>
    </sheetView>
  </sheetViews>
  <sheetFormatPr defaultColWidth="9.140625" defaultRowHeight="15"/>
  <cols>
    <col min="1" max="1" width="6.57421875" style="0" customWidth="1"/>
    <col min="2" max="2" width="33.28125" style="0" customWidth="1"/>
    <col min="3" max="3" width="11.57421875" style="103" bestFit="1" customWidth="1"/>
    <col min="4" max="4" width="10.7109375" style="0" bestFit="1" customWidth="1"/>
    <col min="5" max="5" width="10.8515625" style="0" customWidth="1"/>
    <col min="6" max="6" width="11.28125" style="0" customWidth="1"/>
    <col min="7" max="7" width="16.8515625" style="0" bestFit="1" customWidth="1"/>
    <col min="8" max="8" width="14.28125" style="0" bestFit="1" customWidth="1"/>
    <col min="9" max="9" width="16.00390625" style="0" bestFit="1" customWidth="1"/>
    <col min="10" max="10" width="16.8515625" style="0" bestFit="1" customWidth="1"/>
  </cols>
  <sheetData>
    <row r="1" spans="1:11" s="3" customFormat="1" ht="15.75">
      <c r="A1" s="291" t="s">
        <v>21</v>
      </c>
      <c r="B1" s="292"/>
      <c r="C1" s="292"/>
      <c r="D1" s="292"/>
      <c r="E1" s="292"/>
      <c r="F1" s="292"/>
      <c r="G1" s="182"/>
      <c r="H1" s="182"/>
      <c r="I1" s="182"/>
      <c r="J1" s="182"/>
      <c r="K1" s="4"/>
    </row>
    <row r="2" spans="1:11" s="3" customFormat="1" ht="15.75">
      <c r="A2" s="294" t="s">
        <v>283</v>
      </c>
      <c r="B2" s="295"/>
      <c r="C2" s="295"/>
      <c r="D2" s="295"/>
      <c r="E2" s="295"/>
      <c r="F2" s="295"/>
      <c r="G2" s="59"/>
      <c r="H2" s="59"/>
      <c r="I2" s="59"/>
      <c r="J2" s="59"/>
      <c r="K2" s="4"/>
    </row>
    <row r="3" spans="1:10" s="3" customFormat="1" ht="15.75">
      <c r="A3" s="294" t="s">
        <v>172</v>
      </c>
      <c r="B3" s="295"/>
      <c r="C3" s="295"/>
      <c r="D3" s="295"/>
      <c r="E3" s="295"/>
      <c r="F3" s="295"/>
      <c r="G3" s="59"/>
      <c r="H3" s="59"/>
      <c r="I3" s="59"/>
      <c r="J3" s="59"/>
    </row>
    <row r="4" ht="15.75" thickBot="1"/>
    <row r="5" spans="1:6" ht="15">
      <c r="A5" s="37"/>
      <c r="B5" s="35"/>
      <c r="C5" s="380" t="s">
        <v>16</v>
      </c>
      <c r="D5" s="381"/>
      <c r="E5" s="380" t="s">
        <v>25</v>
      </c>
      <c r="F5" s="382"/>
    </row>
    <row r="6" spans="1:6" ht="15">
      <c r="A6" s="40" t="s">
        <v>189</v>
      </c>
      <c r="B6" s="39"/>
      <c r="C6" s="119" t="s">
        <v>17</v>
      </c>
      <c r="D6" s="76" t="s">
        <v>20</v>
      </c>
      <c r="E6" s="76" t="s">
        <v>17</v>
      </c>
      <c r="F6" s="79" t="s">
        <v>20</v>
      </c>
    </row>
    <row r="7" spans="1:6" ht="15">
      <c r="A7" s="40"/>
      <c r="B7" s="39"/>
      <c r="C7" s="120" t="s">
        <v>103</v>
      </c>
      <c r="D7" s="77" t="s">
        <v>105</v>
      </c>
      <c r="E7" s="77" t="s">
        <v>103</v>
      </c>
      <c r="F7" s="80" t="s">
        <v>105</v>
      </c>
    </row>
    <row r="8" spans="1:6" ht="15">
      <c r="A8" s="40"/>
      <c r="B8" s="39"/>
      <c r="C8" s="120" t="s">
        <v>102</v>
      </c>
      <c r="D8" s="77" t="s">
        <v>104</v>
      </c>
      <c r="E8" s="77" t="s">
        <v>102</v>
      </c>
      <c r="F8" s="80" t="s">
        <v>104</v>
      </c>
    </row>
    <row r="9" spans="1:6" ht="15">
      <c r="A9" s="41"/>
      <c r="B9" s="36"/>
      <c r="C9" s="237" t="s">
        <v>333</v>
      </c>
      <c r="D9" s="237" t="s">
        <v>167</v>
      </c>
      <c r="E9" s="237" t="s">
        <v>333</v>
      </c>
      <c r="F9" s="237" t="s">
        <v>167</v>
      </c>
    </row>
    <row r="10" spans="1:6" ht="15">
      <c r="A10" s="379" t="s">
        <v>106</v>
      </c>
      <c r="B10" s="379"/>
      <c r="C10" s="122"/>
      <c r="D10" s="122"/>
      <c r="E10" s="33"/>
      <c r="F10" s="33"/>
    </row>
    <row r="11" spans="1:6" ht="15">
      <c r="A11" s="366" t="s">
        <v>109</v>
      </c>
      <c r="B11" s="366"/>
      <c r="C11" s="125">
        <f>(5439058.06+114840596.44-4423362.79-2763664.79-24007438.91-3257697.04-524210.36-13614.31+3251667.1+1023370.53)/1000000</f>
        <v>89.56470392999998</v>
      </c>
      <c r="D11" s="125">
        <f>+(314078267+33925)/1000000-D14-D20-D17</f>
        <v>107.68466918799993</v>
      </c>
      <c r="E11" s="33"/>
      <c r="F11" s="33"/>
    </row>
    <row r="12" spans="1:6" ht="15">
      <c r="A12" s="366" t="s">
        <v>110</v>
      </c>
      <c r="B12" s="366"/>
      <c r="C12" s="125">
        <f>(108503074.19-17065617.04-33964334.99+240388.53+469.44)/1000000</f>
        <v>57.71398013</v>
      </c>
      <c r="D12" s="125">
        <f>521624589/1000000-D18</f>
        <v>81.33935269200003</v>
      </c>
      <c r="E12" s="33"/>
      <c r="F12" s="33"/>
    </row>
    <row r="13" spans="1:6" ht="15">
      <c r="A13" s="366" t="s">
        <v>111</v>
      </c>
      <c r="B13" s="366"/>
      <c r="C13" s="125">
        <f>(15473378+637500+417674538.44+(17555093.73-1023370.53-240388.53-469.44))/1000000</f>
        <v>450.07628167</v>
      </c>
      <c r="D13" s="125">
        <f>4097610944/1000000-D19</f>
        <v>575.43347902</v>
      </c>
      <c r="E13" s="33"/>
      <c r="F13" s="33"/>
    </row>
    <row r="14" spans="1:6" ht="15">
      <c r="A14" s="366" t="s">
        <v>284</v>
      </c>
      <c r="B14" s="366"/>
      <c r="C14" s="75">
        <f>+(17065617.04+33964334.99+(4423362.79+2763664.79+24007438.91+13614.31))/1000000</f>
        <v>82.23803283</v>
      </c>
      <c r="D14" s="75">
        <f>(7051774.05+20256030.81+2763664.79+5240833.64+1977192.02+524210.36+13614.31)/1000000</f>
        <v>37.827319980000006</v>
      </c>
      <c r="E14" s="33"/>
      <c r="F14" s="33"/>
    </row>
    <row r="15" spans="1:6" ht="15">
      <c r="A15" s="379" t="s">
        <v>107</v>
      </c>
      <c r="B15" s="379"/>
      <c r="C15" s="98">
        <f>SUM(C11:C14)</f>
        <v>679.59299856</v>
      </c>
      <c r="D15" s="98">
        <f>SUM(D11:D14)</f>
        <v>802.28482088</v>
      </c>
      <c r="E15" s="33"/>
      <c r="F15" s="33"/>
    </row>
    <row r="16" spans="1:10" ht="15">
      <c r="A16" s="379" t="s">
        <v>108</v>
      </c>
      <c r="B16" s="379"/>
      <c r="C16" s="75"/>
      <c r="D16" s="75"/>
      <c r="E16" s="33"/>
      <c r="F16" s="33"/>
      <c r="G16" s="242" t="s">
        <v>348</v>
      </c>
      <c r="H16" s="242" t="s">
        <v>349</v>
      </c>
      <c r="I16" s="243" t="s">
        <v>347</v>
      </c>
      <c r="J16" s="242"/>
    </row>
    <row r="17" spans="1:12" ht="15">
      <c r="A17" s="366" t="s">
        <v>109</v>
      </c>
      <c r="B17" s="366"/>
      <c r="C17" s="75">
        <f>104031306.89/1000000-C11</f>
        <v>14.466602960000017</v>
      </c>
      <c r="D17" s="75">
        <f>149288.798642/1000</f>
        <v>149.28879864200002</v>
      </c>
      <c r="E17" s="33"/>
      <c r="F17" s="33"/>
      <c r="G17" s="103">
        <f>5439058.06+142525396.85+3251667.1</f>
        <v>151216122.01</v>
      </c>
      <c r="H17" s="103">
        <v>1023370.53</v>
      </c>
      <c r="I17" s="103">
        <f>-11144656.55-3154460.36-4425582.72-2763664.79-26706206.92-13614.31</f>
        <v>-48208185.650000006</v>
      </c>
      <c r="J17" s="103">
        <f>SUM(G17:I17)</f>
        <v>104031306.88999999</v>
      </c>
      <c r="K17" s="22">
        <f>+C11+C17</f>
        <v>104.03130689</v>
      </c>
      <c r="L17" s="22">
        <f>+K17-J17/1000000</f>
        <v>0</v>
      </c>
    </row>
    <row r="18" spans="1:12" ht="15">
      <c r="A18" s="366" t="s">
        <v>110</v>
      </c>
      <c r="B18" s="366"/>
      <c r="C18" s="75">
        <f>483591085.6085/1000000-C12</f>
        <v>425.8771054785</v>
      </c>
      <c r="D18" s="75">
        <f>440285.236308/1000</f>
        <v>440.285236308</v>
      </c>
      <c r="E18" s="33"/>
      <c r="F18" s="33"/>
      <c r="G18" s="103">
        <f>540839578.4</f>
        <v>540839578.4</v>
      </c>
      <c r="H18" s="103">
        <f>240388.53+469.44+4.51*175.35</f>
        <v>241648.7985</v>
      </c>
      <c r="I18" s="103">
        <f>-23525806.6-33964334.99</f>
        <v>-57490141.59</v>
      </c>
      <c r="J18" s="103">
        <f>SUM(G18:I18)</f>
        <v>483591085.6084999</v>
      </c>
      <c r="K18" s="22">
        <f>+C12+C18</f>
        <v>483.5910856085</v>
      </c>
      <c r="L18" s="22">
        <f>+K18-J18/1000000</f>
        <v>0</v>
      </c>
    </row>
    <row r="19" spans="1:12" ht="15">
      <c r="A19" s="366" t="s">
        <v>111</v>
      </c>
      <c r="B19" s="366"/>
      <c r="C19" s="75">
        <f>2106395989.5445/1000000-C13</f>
        <v>1656.3197078745</v>
      </c>
      <c r="D19" s="75">
        <f>3522177.46498/1000</f>
        <v>3522.17746498</v>
      </c>
      <c r="E19" s="33"/>
      <c r="F19" s="33"/>
      <c r="G19" s="103">
        <f>1548239715.35+637500+528973560.18</f>
        <v>2077850775.53</v>
      </c>
      <c r="H19" s="103">
        <f>17555093.73-1023370.53-240388.53-469.44+(301.84+1505.98+16.9+68057.75)*175.35+457.67</f>
        <v>28545214.014500003</v>
      </c>
      <c r="I19" s="103">
        <v>0</v>
      </c>
      <c r="J19" s="103">
        <f>SUM(G19:I19)</f>
        <v>2106395989.5444999</v>
      </c>
      <c r="K19" s="22">
        <f>+C13+C19</f>
        <v>2106.3959895445</v>
      </c>
      <c r="L19" s="22">
        <f>+K19-J19/1000000</f>
        <v>0</v>
      </c>
    </row>
    <row r="20" spans="1:12" ht="15">
      <c r="A20" s="366" t="s">
        <v>284</v>
      </c>
      <c r="B20" s="366"/>
      <c r="C20" s="125">
        <f>(23525806.6+33964334.99+4425582.72+2763664.79+26706206.92+13614.31)/1000000-C14</f>
        <v>9.161177500000022</v>
      </c>
      <c r="D20" s="125">
        <f>19311.40419/1000</f>
        <v>19.31140419</v>
      </c>
      <c r="E20" s="33"/>
      <c r="F20" s="33"/>
      <c r="G20" s="103">
        <f>23525806.6+33964334.99+4425582.72+2763664.79+26706206.92+13614.31</f>
        <v>91399210.33000001</v>
      </c>
      <c r="H20" s="103">
        <v>0</v>
      </c>
      <c r="I20" s="103">
        <v>0</v>
      </c>
      <c r="J20" s="103">
        <f>SUM(G20:I20)</f>
        <v>91399210.33000001</v>
      </c>
      <c r="K20" s="22">
        <f>+C14+C20</f>
        <v>91.39921033000002</v>
      </c>
      <c r="L20" s="241">
        <f>+K20-J20/1000000</f>
        <v>0</v>
      </c>
    </row>
    <row r="21" spans="1:10" ht="15">
      <c r="A21" s="379" t="s">
        <v>107</v>
      </c>
      <c r="B21" s="379"/>
      <c r="C21" s="98">
        <f>SUM(C17:C20)</f>
        <v>2105.8245938130003</v>
      </c>
      <c r="D21" s="98">
        <f>SUM(D17:D20)</f>
        <v>4131.06290412</v>
      </c>
      <c r="E21" s="33"/>
      <c r="F21" s="33"/>
      <c r="G21" s="244">
        <f>SUM(G17:G19)</f>
        <v>2769906475.94</v>
      </c>
      <c r="H21" s="244">
        <f>SUM(H17:H19)</f>
        <v>29810233.343000002</v>
      </c>
      <c r="I21" s="244">
        <f>SUM(I17:I20)</f>
        <v>-105698327.24000001</v>
      </c>
      <c r="J21" s="244">
        <f>SUM(J17:J20)</f>
        <v>2785417592.3729997</v>
      </c>
    </row>
    <row r="22" spans="1:10" ht="15">
      <c r="A22" s="379" t="s">
        <v>82</v>
      </c>
      <c r="B22" s="379"/>
      <c r="C22" s="98">
        <f>+C15+C21</f>
        <v>2785.4175923730004</v>
      </c>
      <c r="D22" s="98">
        <f>+D15+D21</f>
        <v>4933.347725</v>
      </c>
      <c r="E22" s="33"/>
      <c r="F22" s="33"/>
      <c r="G22" s="244">
        <v>2769906475.93</v>
      </c>
      <c r="H22" s="244">
        <v>29810233.34</v>
      </c>
      <c r="I22" s="244">
        <f>23525806.6+33964334.99+4425582.72+2763664.79+26706206.92+11144656.55+3154460.36+13614.31</f>
        <v>105698327.24000001</v>
      </c>
      <c r="J22" s="244">
        <v>2785417592</v>
      </c>
    </row>
    <row r="23" spans="1:10" ht="15">
      <c r="A23" s="16"/>
      <c r="B23" s="22"/>
      <c r="C23" s="123"/>
      <c r="D23" s="16"/>
      <c r="E23" s="16"/>
      <c r="F23" s="16"/>
      <c r="G23" s="22">
        <f>+G21-G22</f>
        <v>0.010000228881835938</v>
      </c>
      <c r="H23" s="245">
        <f>+H21-H22</f>
        <v>0.0030000023543834686</v>
      </c>
      <c r="I23" s="246">
        <f>+I21+I22</f>
        <v>0</v>
      </c>
      <c r="J23" s="245">
        <f>+J21-J22</f>
        <v>0.3729996681213379</v>
      </c>
    </row>
    <row r="25" spans="3:6" ht="15">
      <c r="C25" s="19"/>
      <c r="D25" s="19"/>
      <c r="F25" s="22"/>
    </row>
    <row r="26" spans="3:9" ht="15">
      <c r="C26" s="19"/>
      <c r="D26" s="19"/>
      <c r="F26" s="22"/>
      <c r="H26" s="22"/>
      <c r="I26" s="22"/>
    </row>
    <row r="27" spans="2:9" ht="15">
      <c r="B27" s="117">
        <v>665819812.23</v>
      </c>
      <c r="C27" s="19"/>
      <c r="D27" s="19"/>
      <c r="F27" s="22"/>
      <c r="H27" s="22"/>
      <c r="I27" s="22"/>
    </row>
    <row r="28" spans="2:9" ht="15">
      <c r="B28" s="240">
        <v>17555093.73</v>
      </c>
      <c r="C28" s="20"/>
      <c r="D28" s="20"/>
      <c r="F28" s="22"/>
      <c r="H28" s="22"/>
      <c r="I28" s="22"/>
    </row>
    <row r="29" spans="2:9" ht="15">
      <c r="B29" s="240">
        <v>-524210.36</v>
      </c>
      <c r="C29" s="123"/>
      <c r="D29" s="23"/>
      <c r="E29" s="22"/>
      <c r="F29" s="22"/>
      <c r="H29" s="22"/>
      <c r="I29" s="22"/>
    </row>
    <row r="30" spans="2:9" ht="15">
      <c r="B30" s="240">
        <v>-3257697.04</v>
      </c>
      <c r="E30" s="22"/>
      <c r="G30" s="22"/>
      <c r="H30" s="22"/>
      <c r="I30" s="22"/>
    </row>
    <row r="31" ht="15">
      <c r="B31" s="240">
        <f>SUM(B27:B30)</f>
        <v>679592998.5600001</v>
      </c>
    </row>
    <row r="32" ht="15">
      <c r="B32" s="117">
        <v>691848138</v>
      </c>
    </row>
    <row r="33" ht="15">
      <c r="B33" s="117">
        <f>+B31-B32</f>
        <v>-12255139.439999938</v>
      </c>
    </row>
    <row r="34" ht="15">
      <c r="B34" s="117"/>
    </row>
    <row r="35" ht="15">
      <c r="B35" s="239">
        <v>2769906475.93</v>
      </c>
    </row>
    <row r="36" ht="15">
      <c r="B36" s="239">
        <v>29810233.34</v>
      </c>
    </row>
    <row r="37" ht="15">
      <c r="B37" s="239">
        <v>-11144656.55</v>
      </c>
    </row>
    <row r="38" ht="15">
      <c r="B38" s="239">
        <v>-3154460.36</v>
      </c>
    </row>
    <row r="39" ht="15">
      <c r="B39" s="239">
        <f>SUM(B35:B38)</f>
        <v>2785417592.3599997</v>
      </c>
    </row>
  </sheetData>
  <sheetProtection/>
  <mergeCells count="18">
    <mergeCell ref="A17:B17"/>
    <mergeCell ref="A18:B18"/>
    <mergeCell ref="A1:F1"/>
    <mergeCell ref="A2:F2"/>
    <mergeCell ref="A3:F3"/>
    <mergeCell ref="A21:B21"/>
    <mergeCell ref="A22:B22"/>
    <mergeCell ref="C5:D5"/>
    <mergeCell ref="E5:F5"/>
    <mergeCell ref="A10:B10"/>
    <mergeCell ref="A15:B15"/>
    <mergeCell ref="A16:B16"/>
    <mergeCell ref="A11:B11"/>
    <mergeCell ref="A12:B12"/>
    <mergeCell ref="A19:B19"/>
    <mergeCell ref="A20:B20"/>
    <mergeCell ref="A13:B13"/>
    <mergeCell ref="A14:B1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Sahana Ms.</dc:creator>
  <cp:keywords/>
  <dc:description/>
  <cp:lastModifiedBy>Gangadharan</cp:lastModifiedBy>
  <cp:lastPrinted>2020-02-20T04:53:31Z</cp:lastPrinted>
  <dcterms:created xsi:type="dcterms:W3CDTF">2013-06-10T08:59:36Z</dcterms:created>
  <dcterms:modified xsi:type="dcterms:W3CDTF">2020-03-05T08:51:31Z</dcterms:modified>
  <cp:category/>
  <cp:version/>
  <cp:contentType/>
  <cp:contentStatus/>
</cp:coreProperties>
</file>